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vickie.bowling\Downloads\"/>
    </mc:Choice>
  </mc:AlternateContent>
  <xr:revisionPtr revIDLastSave="0" documentId="8_{E1FE959B-8900-4D7A-856E-3664CADB600A}" xr6:coauthVersionLast="47" xr6:coauthVersionMax="47" xr10:uidLastSave="{00000000-0000-0000-0000-000000000000}"/>
  <bookViews>
    <workbookView xWindow="-110" yWindow="-110" windowWidth="19420" windowHeight="10420" activeTab="3" xr2:uid="{B96EFF9A-0DF8-4503-ADF5-687D126E0D19}"/>
    <workbookView xWindow="-110" yWindow="-110" windowWidth="19420" windowHeight="10420" activeTab="3" xr2:uid="{2DC09922-8D9D-4603-9A98-7A7A081A94BE}"/>
  </bookViews>
  <sheets>
    <sheet name="Subsidy points" sheetId="1" r:id="rId1"/>
    <sheet name="subsidy benefits" sheetId="7" r:id="rId2"/>
    <sheet name="cooling subsidy" sheetId="3" r:id="rId3"/>
    <sheet name="points" sheetId="5" r:id="rId4"/>
  </sheets>
  <definedNames>
    <definedName name="_xlnm._FilterDatabase" localSheetId="1" hidden="1">'subsidy benefits'!$A$2:$T$6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3" l="1"/>
  <c r="J40" i="3"/>
  <c r="I41" i="3" s="1"/>
  <c r="J39" i="3"/>
  <c r="J38" i="3"/>
  <c r="I39" i="3" s="1"/>
  <c r="J36" i="3"/>
  <c r="J35" i="3"/>
  <c r="J34" i="3"/>
  <c r="J33" i="3"/>
  <c r="J31" i="3"/>
  <c r="J30" i="3"/>
  <c r="J29" i="3"/>
  <c r="J28" i="3"/>
  <c r="J26" i="3"/>
  <c r="J25" i="3"/>
  <c r="I26" i="3" s="1"/>
  <c r="J24" i="3"/>
  <c r="J23" i="3"/>
  <c r="I24" i="3" s="1"/>
  <c r="J21" i="3"/>
  <c r="J20" i="3"/>
  <c r="J19" i="3"/>
  <c r="I20" i="3" s="1"/>
  <c r="J18" i="3"/>
  <c r="I19" i="3" s="1"/>
  <c r="J16" i="3"/>
  <c r="J15" i="3"/>
  <c r="I16" i="3" s="1"/>
  <c r="J14" i="3"/>
  <c r="J13" i="3"/>
  <c r="J11" i="3"/>
  <c r="J10" i="3"/>
  <c r="I11" i="3" s="1"/>
  <c r="J9" i="3"/>
  <c r="J8" i="3"/>
  <c r="I9" i="3" s="1"/>
  <c r="J6" i="3"/>
  <c r="J5" i="3"/>
  <c r="I6" i="3" s="1"/>
  <c r="J4" i="3"/>
  <c r="J3" i="3"/>
  <c r="I4" i="3" s="1"/>
  <c r="D83" i="7"/>
  <c r="D82" i="7"/>
  <c r="C83" i="7" s="1"/>
  <c r="D81" i="7"/>
  <c r="C82" i="7" s="1"/>
  <c r="D80" i="7"/>
  <c r="C81" i="7" s="1"/>
  <c r="D78" i="7"/>
  <c r="D77" i="7"/>
  <c r="C78" i="7" s="1"/>
  <c r="D76" i="7"/>
  <c r="C77" i="7" s="1"/>
  <c r="D75" i="7"/>
  <c r="C76" i="7" s="1"/>
  <c r="D73" i="7"/>
  <c r="D72" i="7"/>
  <c r="C73" i="7" s="1"/>
  <c r="D71" i="7"/>
  <c r="D70" i="7"/>
  <c r="C71" i="7" s="1"/>
  <c r="D68" i="7"/>
  <c r="D67" i="7"/>
  <c r="D66" i="7"/>
  <c r="D65" i="7"/>
  <c r="D63" i="7"/>
  <c r="D62" i="7"/>
  <c r="D61" i="7"/>
  <c r="D60" i="7"/>
  <c r="D58" i="7"/>
  <c r="D57" i="7"/>
  <c r="D56" i="7"/>
  <c r="D55" i="7"/>
  <c r="D53" i="7"/>
  <c r="D52" i="7"/>
  <c r="C53" i="7" s="1"/>
  <c r="D51" i="7"/>
  <c r="D50" i="7"/>
  <c r="D31" i="7"/>
  <c r="D30" i="7"/>
  <c r="D29" i="7"/>
  <c r="D28" i="7"/>
  <c r="C52" i="7"/>
  <c r="C51" i="7"/>
  <c r="D48" i="7"/>
  <c r="D47" i="7"/>
  <c r="D46" i="7"/>
  <c r="D45" i="7"/>
  <c r="D41" i="7"/>
  <c r="D40" i="7"/>
  <c r="D39" i="7"/>
  <c r="D36" i="7"/>
  <c r="D35" i="7"/>
  <c r="D34" i="7"/>
  <c r="D26" i="7"/>
  <c r="D25" i="7"/>
  <c r="D24" i="7"/>
  <c r="D23" i="7"/>
  <c r="D21" i="7"/>
  <c r="D19" i="7"/>
  <c r="D18" i="7"/>
  <c r="D14" i="7"/>
  <c r="D13" i="7"/>
  <c r="D11" i="7"/>
  <c r="D10" i="7"/>
  <c r="D9" i="7"/>
  <c r="D8" i="7"/>
  <c r="D6" i="7"/>
  <c r="D5" i="7"/>
  <c r="D4" i="7"/>
  <c r="D3" i="7"/>
  <c r="D41" i="3"/>
  <c r="D40" i="3"/>
  <c r="D39" i="3"/>
  <c r="C40" i="3" s="1"/>
  <c r="D38" i="3"/>
  <c r="D36" i="3"/>
  <c r="D35" i="3"/>
  <c r="D34" i="3"/>
  <c r="D33" i="3"/>
  <c r="C34" i="3" s="1"/>
  <c r="D31" i="3"/>
  <c r="C36" i="3" s="1"/>
  <c r="D30" i="3"/>
  <c r="D29" i="3"/>
  <c r="C30" i="3" s="1"/>
  <c r="D28" i="3"/>
  <c r="C29" i="3" s="1"/>
  <c r="C31" i="3"/>
  <c r="I36" i="3"/>
  <c r="D26" i="3"/>
  <c r="D25" i="3"/>
  <c r="D24" i="3"/>
  <c r="C25" i="3" s="1"/>
  <c r="D23" i="3"/>
  <c r="C24" i="3" s="1"/>
  <c r="D21" i="3"/>
  <c r="D20" i="3"/>
  <c r="C21" i="3" s="1"/>
  <c r="D19" i="3"/>
  <c r="D18" i="3"/>
  <c r="C19" i="3" s="1"/>
  <c r="C20" i="3"/>
  <c r="D16" i="3"/>
  <c r="D15" i="3"/>
  <c r="C16" i="3" s="1"/>
  <c r="D14" i="3"/>
  <c r="C15" i="3" s="1"/>
  <c r="D13" i="3"/>
  <c r="C14" i="3" s="1"/>
  <c r="D11" i="3"/>
  <c r="D10" i="3"/>
  <c r="C11" i="3" s="1"/>
  <c r="D9" i="3"/>
  <c r="D8" i="3"/>
  <c r="C9" i="3" s="1"/>
  <c r="D6" i="3"/>
  <c r="D5" i="3"/>
  <c r="C6" i="3" s="1"/>
  <c r="D4" i="3"/>
  <c r="C5" i="3" s="1"/>
  <c r="D3" i="3"/>
  <c r="C4" i="3"/>
  <c r="I5" i="3"/>
  <c r="O9" i="3"/>
  <c r="O27" i="3" s="1"/>
  <c r="C10" i="3"/>
  <c r="I10" i="3"/>
  <c r="I14" i="3"/>
  <c r="I15" i="3"/>
  <c r="I21" i="3"/>
  <c r="C23" i="3"/>
  <c r="I23" i="3"/>
  <c r="I25" i="3"/>
  <c r="C26" i="3"/>
  <c r="P27" i="3"/>
  <c r="Q27" i="3"/>
  <c r="R27" i="3"/>
  <c r="O28" i="3"/>
  <c r="P28" i="3"/>
  <c r="Q28" i="3"/>
  <c r="R28" i="3"/>
  <c r="I29" i="3"/>
  <c r="O29" i="3"/>
  <c r="P29" i="3"/>
  <c r="Q29" i="3"/>
  <c r="R29" i="3"/>
  <c r="I30" i="3"/>
  <c r="O30" i="3"/>
  <c r="P30" i="3"/>
  <c r="Q30" i="3"/>
  <c r="R30" i="3"/>
  <c r="I31" i="3"/>
  <c r="O31" i="3"/>
  <c r="P31" i="3"/>
  <c r="Q31" i="3"/>
  <c r="R31" i="3"/>
  <c r="O32" i="3"/>
  <c r="P32" i="3"/>
  <c r="Q32" i="3"/>
  <c r="R32" i="3"/>
  <c r="O33" i="3"/>
  <c r="P33" i="3"/>
  <c r="Q33" i="3"/>
  <c r="R33" i="3"/>
  <c r="I34" i="3"/>
  <c r="O34" i="3"/>
  <c r="P34" i="3"/>
  <c r="Q34" i="3"/>
  <c r="R34" i="3"/>
  <c r="C35" i="3"/>
  <c r="I35" i="3"/>
  <c r="O35" i="3"/>
  <c r="P35" i="3"/>
  <c r="Q35" i="3"/>
  <c r="R35" i="3"/>
  <c r="O36" i="3"/>
  <c r="P36" i="3"/>
  <c r="Q36" i="3"/>
  <c r="R36" i="3"/>
  <c r="O37" i="3"/>
  <c r="P37" i="3"/>
  <c r="Q37" i="3"/>
  <c r="R37" i="3"/>
  <c r="O38" i="3"/>
  <c r="P38" i="3"/>
  <c r="Q38" i="3"/>
  <c r="R38" i="3"/>
  <c r="C39" i="3"/>
  <c r="O39" i="3"/>
  <c r="P39" i="3"/>
  <c r="Q39" i="3"/>
  <c r="R39" i="3"/>
  <c r="I40" i="3"/>
  <c r="O40" i="3"/>
  <c r="P40" i="3"/>
  <c r="Q40" i="3"/>
  <c r="R40" i="3"/>
  <c r="C41" i="3"/>
  <c r="D41" i="1"/>
  <c r="D40" i="1"/>
  <c r="D39" i="1"/>
  <c r="D38" i="1"/>
  <c r="D36" i="1"/>
  <c r="D35" i="1"/>
  <c r="D34" i="1"/>
  <c r="D33" i="1"/>
  <c r="D31" i="1"/>
  <c r="D30" i="1"/>
  <c r="D29" i="1"/>
  <c r="D28" i="1"/>
  <c r="D26" i="1"/>
  <c r="D25" i="1"/>
  <c r="D24" i="1"/>
  <c r="D23" i="1"/>
  <c r="D21" i="1"/>
  <c r="D20" i="1"/>
  <c r="D19" i="1"/>
  <c r="D18" i="1"/>
  <c r="D16" i="1"/>
  <c r="D15" i="1"/>
  <c r="D14" i="1"/>
  <c r="D13" i="1"/>
  <c r="D11" i="1"/>
  <c r="D10" i="1"/>
  <c r="D9" i="1"/>
  <c r="D8" i="1"/>
  <c r="D6" i="1"/>
  <c r="D5" i="1"/>
  <c r="D4" i="1"/>
  <c r="D3" i="1"/>
  <c r="F65" i="7"/>
  <c r="G65" i="7"/>
  <c r="H65" i="7"/>
  <c r="I65" i="7"/>
  <c r="J65" i="7"/>
  <c r="K65" i="7"/>
  <c r="F66" i="7"/>
  <c r="G66" i="7"/>
  <c r="H66" i="7"/>
  <c r="I66" i="7"/>
  <c r="J66" i="7"/>
  <c r="K66" i="7"/>
  <c r="F67" i="7"/>
  <c r="G67" i="7"/>
  <c r="H67" i="7"/>
  <c r="I67" i="7"/>
  <c r="J67" i="7"/>
  <c r="K67" i="7"/>
  <c r="F68" i="7"/>
  <c r="G68" i="7"/>
  <c r="H68" i="7"/>
  <c r="I68" i="7"/>
  <c r="J68" i="7"/>
  <c r="K68" i="7"/>
  <c r="E68" i="7"/>
  <c r="E67" i="7"/>
  <c r="E66" i="7"/>
  <c r="E65" i="7"/>
  <c r="F60" i="7"/>
  <c r="G60" i="7"/>
  <c r="H60" i="7"/>
  <c r="I60" i="7"/>
  <c r="J60" i="7"/>
  <c r="K60" i="7"/>
  <c r="F61" i="7"/>
  <c r="G61" i="7"/>
  <c r="H61" i="7"/>
  <c r="I61" i="7"/>
  <c r="J61" i="7"/>
  <c r="K61" i="7"/>
  <c r="F62" i="7"/>
  <c r="G62" i="7"/>
  <c r="H62" i="7"/>
  <c r="I62" i="7"/>
  <c r="J62" i="7"/>
  <c r="K62" i="7"/>
  <c r="F63" i="7"/>
  <c r="G63" i="7"/>
  <c r="H63" i="7"/>
  <c r="I63" i="7"/>
  <c r="J63" i="7"/>
  <c r="K63" i="7"/>
  <c r="E63" i="7"/>
  <c r="E62" i="7"/>
  <c r="E61" i="7"/>
  <c r="E60" i="7"/>
  <c r="F55" i="7"/>
  <c r="G55" i="7"/>
  <c r="H55" i="7"/>
  <c r="I55" i="7"/>
  <c r="J55" i="7"/>
  <c r="K55" i="7"/>
  <c r="F56" i="7"/>
  <c r="G56" i="7"/>
  <c r="H56" i="7"/>
  <c r="I56" i="7"/>
  <c r="J56" i="7"/>
  <c r="K56" i="7"/>
  <c r="F57" i="7"/>
  <c r="G57" i="7"/>
  <c r="H57" i="7"/>
  <c r="I57" i="7"/>
  <c r="J57" i="7"/>
  <c r="K57" i="7"/>
  <c r="F58" i="7"/>
  <c r="G58" i="7"/>
  <c r="H58" i="7"/>
  <c r="I58" i="7"/>
  <c r="J58" i="7"/>
  <c r="K58" i="7"/>
  <c r="E58" i="7"/>
  <c r="E57" i="7"/>
  <c r="E56" i="7"/>
  <c r="E55" i="7"/>
  <c r="F53" i="7"/>
  <c r="G53" i="7"/>
  <c r="H53" i="7"/>
  <c r="I53" i="7"/>
  <c r="J53" i="7"/>
  <c r="K53" i="7"/>
  <c r="F52" i="7"/>
  <c r="G52" i="7"/>
  <c r="H52" i="7"/>
  <c r="I52" i="7"/>
  <c r="J52" i="7"/>
  <c r="K52" i="7"/>
  <c r="F51" i="7"/>
  <c r="G51" i="7"/>
  <c r="H51" i="7"/>
  <c r="I51" i="7"/>
  <c r="J51" i="7"/>
  <c r="K51" i="7"/>
  <c r="F50" i="7"/>
  <c r="G50" i="7"/>
  <c r="H50" i="7"/>
  <c r="I50" i="7"/>
  <c r="J50" i="7"/>
  <c r="K50" i="7"/>
  <c r="E53" i="7"/>
  <c r="E52" i="7"/>
  <c r="E51" i="7"/>
  <c r="E50" i="7"/>
  <c r="K48" i="7"/>
  <c r="K47" i="7"/>
  <c r="K46" i="7"/>
  <c r="K45" i="7"/>
  <c r="J48" i="7"/>
  <c r="I48" i="7"/>
  <c r="H48" i="7"/>
  <c r="G48" i="7"/>
  <c r="F48" i="7"/>
  <c r="J47" i="7"/>
  <c r="I47" i="7"/>
  <c r="H47" i="7"/>
  <c r="G47" i="7"/>
  <c r="F47" i="7"/>
  <c r="J46" i="7"/>
  <c r="I46" i="7"/>
  <c r="H46" i="7"/>
  <c r="G46" i="7"/>
  <c r="F46" i="7"/>
  <c r="F45" i="7"/>
  <c r="G45" i="7"/>
  <c r="H45" i="7"/>
  <c r="I45" i="7"/>
  <c r="J45" i="7"/>
  <c r="E47" i="7"/>
  <c r="E46" i="7"/>
  <c r="E45" i="7"/>
  <c r="E48" i="7"/>
  <c r="Q48" i="7"/>
  <c r="C72" i="7"/>
  <c r="C68" i="7"/>
  <c r="C67" i="7"/>
  <c r="C66" i="7"/>
  <c r="C65" i="7"/>
  <c r="C63" i="7"/>
  <c r="C62" i="7"/>
  <c r="C61" i="7"/>
  <c r="C58" i="7"/>
  <c r="C57" i="7"/>
  <c r="C56" i="7"/>
  <c r="C48" i="7"/>
  <c r="C47" i="7"/>
  <c r="C46" i="7"/>
  <c r="E24" i="7"/>
  <c r="F24" i="7"/>
  <c r="G24" i="7"/>
  <c r="H24" i="7"/>
  <c r="I24" i="7"/>
  <c r="J24" i="7"/>
  <c r="E25" i="7"/>
  <c r="F25" i="7"/>
  <c r="G25" i="7"/>
  <c r="H25" i="7"/>
  <c r="I25" i="7"/>
  <c r="J25" i="7"/>
  <c r="E26" i="7"/>
  <c r="F26" i="7"/>
  <c r="G26" i="7"/>
  <c r="H26" i="7"/>
  <c r="I26" i="7"/>
  <c r="J26" i="7"/>
  <c r="J23" i="7"/>
  <c r="I23" i="7"/>
  <c r="H23" i="7"/>
  <c r="G23" i="7"/>
  <c r="F23" i="7"/>
  <c r="E23" i="7"/>
  <c r="E19" i="7"/>
  <c r="F19" i="7"/>
  <c r="G19" i="7"/>
  <c r="H19" i="7"/>
  <c r="I19" i="7"/>
  <c r="J19" i="7"/>
  <c r="E20" i="7"/>
  <c r="F20" i="7"/>
  <c r="G20" i="7"/>
  <c r="H20" i="7"/>
  <c r="I20" i="7"/>
  <c r="J20" i="7"/>
  <c r="E21" i="7"/>
  <c r="F21" i="7"/>
  <c r="G21" i="7"/>
  <c r="H21" i="7"/>
  <c r="I21" i="7"/>
  <c r="J21" i="7"/>
  <c r="J18" i="7"/>
  <c r="I18" i="7"/>
  <c r="H18" i="7"/>
  <c r="G18" i="7"/>
  <c r="F18" i="7"/>
  <c r="E18" i="7"/>
  <c r="J14" i="7"/>
  <c r="J15" i="7"/>
  <c r="J16" i="7"/>
  <c r="I14" i="7"/>
  <c r="I15" i="7"/>
  <c r="I16" i="7"/>
  <c r="H14" i="7"/>
  <c r="H15" i="7"/>
  <c r="H16" i="7"/>
  <c r="G14" i="7"/>
  <c r="G15" i="7"/>
  <c r="G16" i="7"/>
  <c r="J13" i="7"/>
  <c r="I13" i="7"/>
  <c r="H13" i="7"/>
  <c r="G13" i="7"/>
  <c r="E14" i="7"/>
  <c r="E15" i="7"/>
  <c r="E16" i="7"/>
  <c r="F14" i="7"/>
  <c r="F15" i="7"/>
  <c r="F16" i="7"/>
  <c r="F13" i="7"/>
  <c r="E13" i="7"/>
  <c r="J9" i="7"/>
  <c r="J10" i="7"/>
  <c r="J11" i="7"/>
  <c r="J8" i="7"/>
  <c r="I9" i="7"/>
  <c r="I10" i="7"/>
  <c r="I11" i="7"/>
  <c r="I8" i="7"/>
  <c r="H9" i="7"/>
  <c r="H10" i="7"/>
  <c r="H11" i="7"/>
  <c r="H8" i="7"/>
  <c r="G9" i="7"/>
  <c r="G10" i="7"/>
  <c r="G11" i="7"/>
  <c r="G8" i="7"/>
  <c r="F9" i="7"/>
  <c r="F10" i="7"/>
  <c r="F11" i="7"/>
  <c r="F8" i="7"/>
  <c r="E9" i="7"/>
  <c r="E10" i="7"/>
  <c r="E11" i="7"/>
  <c r="E8" i="7"/>
  <c r="J4" i="7"/>
  <c r="J5" i="7"/>
  <c r="J6" i="7"/>
  <c r="J3" i="7"/>
  <c r="I4" i="7"/>
  <c r="I5" i="7"/>
  <c r="I6" i="7"/>
  <c r="I3" i="7"/>
  <c r="H4" i="7"/>
  <c r="H5" i="7"/>
  <c r="H6" i="7"/>
  <c r="H3" i="7"/>
  <c r="G4" i="7"/>
  <c r="G5" i="7"/>
  <c r="G6" i="7"/>
  <c r="G3" i="7"/>
  <c r="F4" i="7"/>
  <c r="F5" i="7"/>
  <c r="F6" i="7"/>
  <c r="F3" i="7"/>
  <c r="E4" i="7"/>
  <c r="E5" i="7"/>
  <c r="E6" i="7"/>
  <c r="E3" i="7"/>
  <c r="J41" i="1"/>
  <c r="I41" i="1"/>
  <c r="H41" i="1"/>
  <c r="G41" i="1"/>
  <c r="F41" i="1"/>
  <c r="E41" i="1"/>
  <c r="J40" i="1"/>
  <c r="I40" i="1"/>
  <c r="H40" i="1"/>
  <c r="G40" i="1"/>
  <c r="F40" i="1"/>
  <c r="E40" i="1"/>
  <c r="J39" i="1"/>
  <c r="I39" i="1"/>
  <c r="H39" i="1"/>
  <c r="G39" i="1"/>
  <c r="F39" i="1"/>
  <c r="E39" i="1"/>
  <c r="J38" i="1"/>
  <c r="I38" i="1"/>
  <c r="H38" i="1"/>
  <c r="G38" i="1"/>
  <c r="F38" i="1"/>
  <c r="E38" i="1"/>
  <c r="J36" i="1"/>
  <c r="I36" i="1"/>
  <c r="H36" i="1"/>
  <c r="G36" i="1"/>
  <c r="F36" i="1"/>
  <c r="E36" i="1"/>
  <c r="J35" i="1"/>
  <c r="I35" i="1"/>
  <c r="H35" i="1"/>
  <c r="G35" i="1"/>
  <c r="F35" i="1"/>
  <c r="E35" i="1"/>
  <c r="J34" i="1"/>
  <c r="I34" i="1"/>
  <c r="H34" i="1"/>
  <c r="G34" i="1"/>
  <c r="F34" i="1"/>
  <c r="E34" i="1"/>
  <c r="J33" i="1"/>
  <c r="I33" i="1"/>
  <c r="H33" i="1"/>
  <c r="G33" i="1"/>
  <c r="F33" i="1"/>
  <c r="E33" i="1"/>
  <c r="J31" i="1"/>
  <c r="I31" i="1"/>
  <c r="H31" i="1"/>
  <c r="G31" i="1"/>
  <c r="F31" i="1"/>
  <c r="E31" i="1"/>
  <c r="J30" i="1"/>
  <c r="I30" i="1"/>
  <c r="H30" i="1"/>
  <c r="G30" i="1"/>
  <c r="F30" i="1"/>
  <c r="E30" i="1"/>
  <c r="J29" i="1"/>
  <c r="I29" i="1"/>
  <c r="H29" i="1"/>
  <c r="G29" i="1"/>
  <c r="F29" i="1"/>
  <c r="E29" i="1"/>
  <c r="J28" i="1"/>
  <c r="I28" i="1"/>
  <c r="H28" i="1"/>
  <c r="G28" i="1"/>
  <c r="F28" i="1"/>
  <c r="E28" i="1"/>
  <c r="R29" i="5"/>
  <c r="R27" i="5"/>
  <c r="R25" i="5"/>
  <c r="E3" i="1"/>
  <c r="E4" i="1"/>
  <c r="E5" i="1"/>
  <c r="E6" i="1"/>
  <c r="M4" i="5"/>
  <c r="C41" i="7" l="1"/>
  <c r="T40" i="7"/>
  <c r="S40" i="7"/>
  <c r="R40" i="7"/>
  <c r="Q40" i="7"/>
  <c r="C40" i="7"/>
  <c r="T39" i="7"/>
  <c r="S39" i="7"/>
  <c r="R39" i="7"/>
  <c r="Q39" i="7"/>
  <c r="T38" i="7"/>
  <c r="S38" i="7"/>
  <c r="R38" i="7"/>
  <c r="Q38" i="7"/>
  <c r="T37" i="7"/>
  <c r="S37" i="7"/>
  <c r="R37" i="7"/>
  <c r="Q37" i="7"/>
  <c r="T36" i="7"/>
  <c r="S36" i="7"/>
  <c r="R36" i="7"/>
  <c r="Q36" i="7"/>
  <c r="C36" i="7"/>
  <c r="T35" i="7"/>
  <c r="S35" i="7"/>
  <c r="R35" i="7"/>
  <c r="Q35" i="7"/>
  <c r="C35" i="7"/>
  <c r="T34" i="7"/>
  <c r="S34" i="7"/>
  <c r="R34" i="7"/>
  <c r="Q34" i="7"/>
  <c r="D38" i="7" s="1"/>
  <c r="C39" i="7" s="1"/>
  <c r="T33" i="7"/>
  <c r="S33" i="7"/>
  <c r="R33" i="7"/>
  <c r="Q33" i="7"/>
  <c r="D33" i="7" s="1"/>
  <c r="C34" i="7" s="1"/>
  <c r="T32" i="7"/>
  <c r="S32" i="7"/>
  <c r="R32" i="7"/>
  <c r="Q32" i="7"/>
  <c r="T31" i="7"/>
  <c r="S31" i="7"/>
  <c r="R31" i="7"/>
  <c r="Q31" i="7"/>
  <c r="C31" i="7"/>
  <c r="T30" i="7"/>
  <c r="S30" i="7"/>
  <c r="D20" i="7" s="1"/>
  <c r="C21" i="7" s="1"/>
  <c r="R30" i="7"/>
  <c r="Q30" i="7"/>
  <c r="C30" i="7"/>
  <c r="T29" i="7"/>
  <c r="D16" i="7" s="1"/>
  <c r="S29" i="7"/>
  <c r="D15" i="7" s="1"/>
  <c r="C16" i="7" s="1"/>
  <c r="R29" i="7"/>
  <c r="Q29" i="7"/>
  <c r="C29" i="7"/>
  <c r="T28" i="7"/>
  <c r="S28" i="7"/>
  <c r="R28" i="7"/>
  <c r="Q28" i="7"/>
  <c r="T27" i="7"/>
  <c r="S27" i="7"/>
  <c r="R27" i="7"/>
  <c r="Q27" i="7"/>
  <c r="C26" i="7"/>
  <c r="C25" i="7"/>
  <c r="C24" i="7"/>
  <c r="C23" i="7"/>
  <c r="C20" i="7"/>
  <c r="C19" i="7"/>
  <c r="C15" i="7"/>
  <c r="C14" i="7"/>
  <c r="C11" i="7"/>
  <c r="C10" i="7"/>
  <c r="Q9" i="7"/>
  <c r="C9" i="7"/>
  <c r="C6" i="7"/>
  <c r="C5" i="7"/>
  <c r="C4" i="7"/>
  <c r="J26" i="1"/>
  <c r="J25" i="1"/>
  <c r="J24" i="1"/>
  <c r="J23" i="1"/>
  <c r="I26" i="1"/>
  <c r="I25" i="1"/>
  <c r="I24" i="1"/>
  <c r="I23" i="1"/>
  <c r="H26" i="1"/>
  <c r="H25" i="1"/>
  <c r="H24" i="1"/>
  <c r="H23" i="1"/>
  <c r="G26" i="1"/>
  <c r="G25" i="1"/>
  <c r="G24" i="1"/>
  <c r="G23" i="1"/>
  <c r="F26" i="1"/>
  <c r="F25" i="1"/>
  <c r="F24" i="1"/>
  <c r="F23" i="1"/>
  <c r="E26" i="1"/>
  <c r="E25" i="1"/>
  <c r="E24" i="1"/>
  <c r="E23" i="1"/>
  <c r="J21" i="1"/>
  <c r="J20" i="1"/>
  <c r="J19" i="1"/>
  <c r="J18" i="1"/>
  <c r="I21" i="1"/>
  <c r="I20" i="1"/>
  <c r="I19" i="1"/>
  <c r="I18" i="1"/>
  <c r="H21" i="1"/>
  <c r="H20" i="1"/>
  <c r="H19" i="1"/>
  <c r="H18" i="1"/>
  <c r="G21" i="1"/>
  <c r="G20" i="1"/>
  <c r="G19" i="1"/>
  <c r="G18" i="1"/>
  <c r="F21" i="1"/>
  <c r="F20" i="1"/>
  <c r="F19" i="1"/>
  <c r="F18" i="1"/>
  <c r="E21" i="1"/>
  <c r="E20" i="1"/>
  <c r="E19" i="1"/>
  <c r="E18" i="1"/>
  <c r="J16" i="1"/>
  <c r="J15" i="1"/>
  <c r="J14" i="1"/>
  <c r="J13" i="1"/>
  <c r="I16" i="1"/>
  <c r="I15" i="1"/>
  <c r="I14" i="1"/>
  <c r="I13" i="1"/>
  <c r="J11" i="1"/>
  <c r="J10" i="1"/>
  <c r="J9" i="1"/>
  <c r="J8" i="1"/>
  <c r="I11" i="1"/>
  <c r="I10" i="1"/>
  <c r="I9" i="1"/>
  <c r="I8" i="1"/>
  <c r="H16" i="1"/>
  <c r="H15" i="1"/>
  <c r="H14" i="1"/>
  <c r="H13" i="1"/>
  <c r="G16" i="1"/>
  <c r="G15" i="1"/>
  <c r="G14" i="1"/>
  <c r="G13" i="1"/>
  <c r="F16" i="1"/>
  <c r="F15" i="1"/>
  <c r="F14" i="1"/>
  <c r="F13" i="1"/>
  <c r="E16" i="1"/>
  <c r="E15" i="1"/>
  <c r="E14" i="1"/>
  <c r="E13" i="1"/>
  <c r="H8" i="1"/>
  <c r="G8" i="1"/>
  <c r="F8" i="1"/>
  <c r="E11" i="1"/>
  <c r="E10" i="1"/>
  <c r="E9" i="1"/>
  <c r="E8" i="1"/>
  <c r="J6" i="1"/>
  <c r="J5" i="1"/>
  <c r="J4" i="1"/>
  <c r="J3" i="1"/>
  <c r="I6" i="1"/>
  <c r="I5" i="1"/>
  <c r="I4" i="1"/>
  <c r="I3" i="1"/>
  <c r="H6" i="1"/>
  <c r="H5" i="1"/>
  <c r="H4" i="1"/>
  <c r="H3" i="1"/>
  <c r="G6" i="1"/>
  <c r="G5" i="1"/>
  <c r="G4" i="1"/>
  <c r="G3" i="1"/>
  <c r="F6" i="1"/>
  <c r="F5" i="1"/>
  <c r="F4" i="1"/>
  <c r="F3" i="1"/>
  <c r="R27" i="1"/>
  <c r="S27" i="1"/>
  <c r="T27" i="1"/>
  <c r="R28" i="1"/>
  <c r="S28" i="1"/>
  <c r="T28" i="1"/>
  <c r="R29" i="1"/>
  <c r="S29" i="1"/>
  <c r="T29" i="1"/>
  <c r="R30" i="1"/>
  <c r="S30" i="1"/>
  <c r="T30" i="1"/>
  <c r="R31" i="1"/>
  <c r="S31" i="1"/>
  <c r="T31" i="1"/>
  <c r="R32" i="1"/>
  <c r="S32" i="1"/>
  <c r="T32" i="1"/>
  <c r="R33" i="1"/>
  <c r="S33" i="1"/>
  <c r="T33" i="1"/>
  <c r="R34" i="1"/>
  <c r="S34" i="1"/>
  <c r="T34" i="1"/>
  <c r="R35" i="1"/>
  <c r="S35" i="1"/>
  <c r="T35" i="1"/>
  <c r="R36" i="1"/>
  <c r="S36" i="1"/>
  <c r="T36" i="1"/>
  <c r="R37" i="1"/>
  <c r="S37" i="1"/>
  <c r="T37" i="1"/>
  <c r="R38" i="1"/>
  <c r="S38" i="1"/>
  <c r="T38" i="1"/>
  <c r="R39" i="1"/>
  <c r="S39" i="1"/>
  <c r="T39" i="1"/>
  <c r="R40" i="1"/>
  <c r="S40" i="1"/>
  <c r="T40" i="1"/>
  <c r="Q28" i="1"/>
  <c r="Q29" i="1"/>
  <c r="Q30" i="1"/>
  <c r="Q31" i="1"/>
  <c r="Q32" i="1"/>
  <c r="Q33" i="1"/>
  <c r="Q34" i="1"/>
  <c r="Q35" i="1"/>
  <c r="Q36" i="1"/>
  <c r="Q37" i="1"/>
  <c r="Q38" i="1"/>
  <c r="Q39" i="1"/>
  <c r="Q40" i="1"/>
  <c r="Q27" i="1"/>
  <c r="Q9" i="1"/>
  <c r="C25" i="1" l="1"/>
  <c r="C24" i="1"/>
  <c r="C23" i="1"/>
  <c r="C21" i="1"/>
  <c r="C20" i="1"/>
  <c r="C19" i="1"/>
  <c r="C16" i="1"/>
  <c r="C15" i="1"/>
  <c r="C26" i="1"/>
  <c r="C29" i="1"/>
  <c r="C30" i="1"/>
  <c r="C31" i="1"/>
  <c r="C34" i="1"/>
  <c r="C35" i="1"/>
  <c r="C36" i="1"/>
  <c r="C39" i="1"/>
  <c r="C40" i="1"/>
  <c r="C41" i="1"/>
  <c r="C14" i="1"/>
  <c r="C10" i="1"/>
  <c r="C11" i="1"/>
  <c r="C9" i="1"/>
  <c r="C6" i="1"/>
  <c r="C5" i="1"/>
  <c r="C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tc={014BC00B-9567-45B8-B9CF-AE17CEA59239}</author>
    <author>tc={1CFFB526-7BEA-4B39-ACA6-9BAF4D2119DD}</author>
    <author>tc={1D3BDAAF-7D55-497F-80E1-26BF519289B3}</author>
  </authors>
  <commentList>
    <comment ref="D3" authorId="0" shapeId="0" xr:uid="{014BC00B-9567-45B8-B9CF-AE17CEA59239}">
      <text>
        <t>[Threaded comment]
Your version of Excel allows you to read this threaded comment; however, any edits to it will get removed if the file is opened in a newer version of Excel. Learn more: https://go.microsoft.com/fwlink/?linkid=870924
Comment:
    Pls automate to FPL chart.</t>
      </text>
    </comment>
    <comment ref="M4" authorId="1" shapeId="0" xr:uid="{1CFFB526-7BEA-4B39-ACA6-9BAF4D2119DD}">
      <text>
        <t>[Threaded comment]
Your version of Excel allows you to read this threaded comment; however, any edits to it will get removed if the file is opened in a newer version of Excel. Learn more: https://go.microsoft.com/fwlink/?linkid=870924
Comment:
    Write a simple, short narrative to define point system.</t>
      </text>
    </comment>
    <comment ref="Q9" authorId="2" shapeId="0" xr:uid="{1D3BDAAF-7D55-497F-80E1-26BF519289B3}">
      <text>
        <t>[Threaded comment]
Your version of Excel allows you to read this threaded comment; however, any edits to it will get removed if the file is opened in a newer version of Excel. Learn more: https://go.microsoft.com/fwlink/?linkid=870924
Comment:
    Can you put a formula in here so we can adjust the amounts next year?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tc={51547559-7AD6-4CBC-9087-37F8ECD98C99}</author>
    <author>tc={D915AB0A-AD71-4526-93FC-9E30B7312823}</author>
    <author>tc={6918047D-D164-492C-B9F7-C76CA4AB973A}</author>
    <author>tc={3491EA96-70BB-4D82-A74F-342EA539406A}</author>
  </authors>
  <commentList>
    <comment ref="D3" authorId="0" shapeId="0" xr:uid="{51547559-7AD6-4CBC-9087-37F8ECD98C99}">
      <text>
        <t>[Threaded comment]
Your version of Excel allows you to read this threaded comment; however, any edits to it will get removed if the file is opened in a newer version of Excel. Learn more: https://go.microsoft.com/fwlink/?linkid=870924
Comment:
    Please automate column D with column Q-T as each year the amounts will change.</t>
      </text>
    </comment>
    <comment ref="R9" authorId="1" shapeId="0" xr:uid="{D915AB0A-AD71-4526-93FC-9E30B7312823}">
      <text>
        <t>[Threaded comment]
Your version of Excel allows you to read this threaded comment; however, any edits to it will get removed if the file is opened in a newer version of Excel. Learn more: https://go.microsoft.com/fwlink/?linkid=870924
Comment:
    Can a formula be put in this column to match the chart on the left side of the page?</t>
      </text>
    </comment>
    <comment ref="Q26" authorId="2" shapeId="0" xr:uid="{6918047D-D164-492C-B9F7-C76CA4AB973A}">
      <text>
        <t>[Threaded comment]
Your version of Excel allows you to read this threaded comment; however, any edits to it will get removed if the file is opened in a newer version of Excel. Learn more: https://go.microsoft.com/fwlink/?linkid=870924
Comment:
    Please add percentages.</t>
      </text>
    </comment>
    <comment ref="D45" authorId="3" shapeId="0" xr:uid="{3491EA96-70BB-4D82-A74F-342EA539406A}">
      <text>
        <t>[Threaded comment]
Your version of Excel allows you to read this threaded comment; however, any edits to it will get removed if the file is opened in a newer version of Excel. Learn more: https://go.microsoft.com/fwlink/?linkid=870924
Comment:
    Please automate column D with column Q-T as each year the amounts will change.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tc={E26C4996-384F-4907-81FD-5B4E13134B44}</author>
    <author>Bowling, Vickie (CHFS DCBS DFS)</author>
    <author>tc={8C18123C-D0A2-4AA7-B5B6-F2D0FBE458F0}</author>
  </authors>
  <commentList>
    <comment ref="D3" authorId="0" shapeId="0" xr:uid="{E26C4996-384F-4907-81FD-5B4E13134B44}">
      <text>
        <t>[Threaded comment]
Your version of Excel allows you to read this threaded comment; however, any edits to it will get removed if the file is opened in a newer version of Excel. Learn more: https://go.microsoft.com/fwlink/?linkid=870924
Comment:
    Pls automate to FPL chart as it will change annually.</t>
      </text>
    </comment>
    <comment ref="O9" authorId="1" shapeId="0" xr:uid="{A15DBC3A-8DCB-4568-B42B-09464D7FCD60}">
      <text>
        <r>
          <rPr>
            <b/>
            <sz val="9"/>
            <color indexed="81"/>
            <rFont val="Tahoma"/>
            <charset val="1"/>
          </rPr>
          <t>Bowling, Vickie (CHFS DCBS DFS):</t>
        </r>
        <r>
          <rPr>
            <sz val="9"/>
            <color indexed="81"/>
            <rFont val="Tahoma"/>
            <charset val="1"/>
          </rPr>
          <t xml:space="preserve">
</t>
        </r>
      </text>
    </comment>
    <comment ref="O10" authorId="2" shapeId="0" xr:uid="{8C18123C-D0A2-4AA7-B5B6-F2D0FBE458F0}">
      <text>
        <t>[Threaded comment]
Your version of Excel allows you to read this threaded comment; however, any edits to it will get removed if the file is opened in a newer version of Excel. Learn more: https://go.microsoft.com/fwlink/?linkid=870924
Comment:
    Can a formula be put here to match the left side of the page?</t>
      </text>
    </comment>
  </commentList>
</comments>
</file>

<file path=xl/sharedStrings.xml><?xml version="1.0" encoding="utf-8"?>
<sst xmlns="http://schemas.openxmlformats.org/spreadsheetml/2006/main" count="295" uniqueCount="53">
  <si>
    <t># of People in HH</t>
  </si>
  <si>
    <t>Income Range</t>
  </si>
  <si>
    <t>Electricity</t>
  </si>
  <si>
    <t>Natural Gas</t>
  </si>
  <si>
    <t>Wood</t>
  </si>
  <si>
    <t>Coal</t>
  </si>
  <si>
    <t>Propane</t>
  </si>
  <si>
    <t>Fuel Oil</t>
  </si>
  <si>
    <t>Household/
Family Size</t>
  </si>
  <si>
    <t>Heating</t>
  </si>
  <si>
    <t>Cooling</t>
  </si>
  <si>
    <t>Electric</t>
  </si>
  <si>
    <t>Subsidy Non-subsided housing</t>
  </si>
  <si>
    <t>0-75%</t>
  </si>
  <si>
    <t>76-100%</t>
  </si>
  <si>
    <t>101-125%</t>
  </si>
  <si>
    <t>126-150%</t>
  </si>
  <si>
    <t>Adjusted POP</t>
  </si>
  <si>
    <t>Spring/Summer Subsidy subsidized housing</t>
  </si>
  <si>
    <t>Spring/Summer Subsidy Non-subsidized housing</t>
  </si>
  <si>
    <t>HH served Subsidy FFY 23</t>
  </si>
  <si>
    <t>Target</t>
  </si>
  <si>
    <t>FFY25</t>
  </si>
  <si>
    <t>HH served Subsidy FFY 24</t>
  </si>
  <si>
    <t>0-75</t>
  </si>
  <si>
    <t>76-100</t>
  </si>
  <si>
    <t>101-125</t>
  </si>
  <si>
    <t>125-150</t>
  </si>
  <si>
    <t>Points</t>
  </si>
  <si>
    <t>inc range</t>
  </si>
  <si>
    <t>%of hh svd</t>
  </si>
  <si>
    <t>Fuel Cost</t>
  </si>
  <si>
    <t xml:space="preserve"> </t>
  </si>
  <si>
    <t>Fuel Oil/Kerosene</t>
  </si>
  <si>
    <t># of people in HH</t>
  </si>
  <si>
    <t>income</t>
  </si>
  <si>
    <t>max 150</t>
  </si>
  <si>
    <t>fuel</t>
  </si>
  <si>
    <t>6 and above</t>
  </si>
  <si>
    <t>7 or more people in HH</t>
  </si>
  <si>
    <t>factor</t>
  </si>
  <si>
    <t>Energy Burden</t>
  </si>
  <si>
    <t>max benefit</t>
  </si>
  <si>
    <t>7 and above</t>
  </si>
  <si>
    <t>For Natural gas: $0.00049836/sq ft/hour * 1000 sq ft * 24 hours = $11.96 per day</t>
  </si>
  <si>
    <t>For Propane: $0.0011716/sq ft/hour * 1000 sq ft * 24 hours = $28.12 per day</t>
  </si>
  <si>
    <t>For Heating oil: $0.0009662/sq ft/hour * 1000 sq ft * 24 hours = $23.19 per day</t>
  </si>
  <si>
    <t>For Electric heating: $0.0015463/sq ft/hour * 1000 sq ft * 24 hours = $37.11 per day</t>
  </si>
  <si>
    <t>So, the cost to heat a 1000 sq ft home for a day would be $11.96 with natural gas, $28.12 with propane, $23.19 with heating oil, and $37.11 with electric heating</t>
  </si>
  <si>
    <t>5 and above.</t>
  </si>
  <si>
    <t>5 and above</t>
  </si>
  <si>
    <t>1 pt= 16.66 (roundup)</t>
  </si>
  <si>
    <t>Subsidized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</si>
</sst>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409]General"/>
  </numFmts>
  <fonts count="11" x14ac:knownFonts="1">
    <font>
      <sz val="11"/>
      <color theme="1"/>
      <name val="Calibri"/>
      <family val="2"/>
      <scheme val="minor"/>
    </font>
    <font>
      <sz val="9"/>
      <color theme="1"/>
      <name val="Calibri"/>
      <family val="2"/>
      <scheme val="minor"/>
    </font>
    <font>
      <sz val="8"/>
      <name val="Calibri"/>
      <family val="2"/>
      <scheme val="minor"/>
    </font>
    <font>
      <b/>
      <sz val="8"/>
      <name val="Calibri"/>
      <family val="2"/>
      <scheme val="minor"/>
    </font>
    <font>
      <sz val="18"/>
      <color theme="1"/>
      <name val="Calibri"/>
      <family val="2"/>
      <scheme val="minor"/>
    </font>
    <font>
      <sz val="11"/>
      <color rgb="FFFF0000"/>
      <name val="Calibri"/>
      <family val="2"/>
      <scheme val="minor"/>
    </font>
    <font>
      <sz val="12"/>
      <color rgb="FF323130"/>
      <name val="Segoe UI"/>
      <family val="2"/>
    </font>
    <font>
      <sz val="9"/>
      <color rgb="FF323130"/>
      <name val="Segoe UI"/>
      <family val="2"/>
    </font>
    <font>
      <b/>
      <sz val="9"/>
      <color theme="1"/>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4" tint="0.79998168889431442"/>
        <bgColor indexed="64"/>
      </patternFill>
    </fill>
    <fill>
      <patternFill patternType="solid">
        <fgColor theme="5" tint="0.39997558519241921"/>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1">
    <xf numFmtId="0" fontId="0" fillId="0" borderId="0"/>
  </cellStyleXfs>
  <cellXfs count="90">
    <xf numFmtId="0" fontId="0" fillId="0" borderId="0" xfId="0"/>
    <xf numFmtId="0" fontId="1" fillId="0" borderId="0" xfId="0" applyFont="1" applyAlignment="1">
      <alignment horizontal="center"/>
    </xf>
    <xf numFmtId="0" fontId="1" fillId="0" borderId="0" xfId="0" applyFont="1"/>
    <xf numFmtId="10" fontId="1" fillId="0" borderId="0" xfId="0" applyNumberFormat="1" applyFont="1"/>
    <xf numFmtId="2" fontId="1" fillId="0" borderId="0" xfId="0" applyNumberFormat="1" applyFont="1"/>
    <xf numFmtId="0" fontId="3" fillId="0" borderId="0" xfId="0" applyFont="1" applyAlignment="1">
      <alignment horizontal="center"/>
    </xf>
    <xf numFmtId="0" fontId="3" fillId="0" borderId="0" xfId="0" applyFont="1" applyAlignment="1">
      <alignment horizontal="center" vertical="center" wrapText="1"/>
    </xf>
    <xf numFmtId="10" fontId="1" fillId="0" borderId="0" xfId="0" applyNumberFormat="1" applyFont="1" applyAlignment="1">
      <alignment horizontal="center" vertical="center"/>
    </xf>
    <xf numFmtId="0" fontId="1" fillId="2" borderId="0" xfId="0" applyFont="1" applyFill="1" applyAlignment="1">
      <alignment horizontal="center" wrapText="1"/>
    </xf>
    <xf numFmtId="0" fontId="1" fillId="2" borderId="0" xfId="0" applyFont="1" applyFill="1" applyAlignment="1">
      <alignment horizontal="center"/>
    </xf>
    <xf numFmtId="0" fontId="1" fillId="0" borderId="2" xfId="0" applyFont="1" applyBorder="1"/>
    <xf numFmtId="0" fontId="1" fillId="0" borderId="7" xfId="0" applyFont="1" applyBorder="1"/>
    <xf numFmtId="1" fontId="1" fillId="0" borderId="0" xfId="0" applyNumberFormat="1" applyFont="1" applyAlignment="1">
      <alignment horizontal="center"/>
    </xf>
    <xf numFmtId="1" fontId="1" fillId="0" borderId="1" xfId="0" applyNumberFormat="1" applyFont="1" applyBorder="1" applyAlignment="1">
      <alignment horizontal="center"/>
    </xf>
    <xf numFmtId="1" fontId="2" fillId="0" borderId="3" xfId="0" applyNumberFormat="1" applyFont="1" applyBorder="1" applyAlignment="1">
      <alignment horizontal="center"/>
    </xf>
    <xf numFmtId="1" fontId="1" fillId="0" borderId="4" xfId="0" applyNumberFormat="1" applyFont="1" applyBorder="1" applyAlignment="1">
      <alignment horizontal="center"/>
    </xf>
    <xf numFmtId="1" fontId="2" fillId="0" borderId="5" xfId="0" applyNumberFormat="1" applyFont="1" applyBorder="1" applyAlignment="1">
      <alignment horizontal="center"/>
    </xf>
    <xf numFmtId="1" fontId="1" fillId="0" borderId="5" xfId="0" applyNumberFormat="1" applyFont="1" applyBorder="1" applyAlignment="1">
      <alignment horizontal="center"/>
    </xf>
    <xf numFmtId="1" fontId="1" fillId="0" borderId="6" xfId="0" applyNumberFormat="1" applyFont="1" applyBorder="1" applyAlignment="1">
      <alignment horizontal="center"/>
    </xf>
    <xf numFmtId="1" fontId="1" fillId="0" borderId="8" xfId="0" applyNumberFormat="1" applyFont="1" applyBorder="1" applyAlignment="1">
      <alignment horizontal="center"/>
    </xf>
    <xf numFmtId="1" fontId="1" fillId="0" borderId="3" xfId="0" applyNumberFormat="1" applyFont="1" applyBorder="1" applyAlignment="1">
      <alignment horizontal="center"/>
    </xf>
    <xf numFmtId="0" fontId="1" fillId="0" borderId="9" xfId="0" applyFont="1" applyBorder="1" applyAlignment="1">
      <alignment horizontal="center"/>
    </xf>
    <xf numFmtId="0" fontId="1" fillId="0" borderId="10" xfId="0" applyFont="1" applyBorder="1"/>
    <xf numFmtId="0" fontId="1" fillId="0" borderId="11" xfId="0" applyFont="1" applyBorder="1"/>
    <xf numFmtId="0" fontId="1" fillId="0" borderId="9" xfId="0" applyFont="1" applyBorder="1"/>
    <xf numFmtId="0" fontId="1" fillId="3" borderId="0" xfId="0" applyFont="1" applyFill="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0" borderId="1" xfId="0" applyBorder="1"/>
    <xf numFmtId="164" fontId="0" fillId="0" borderId="4" xfId="0" applyNumberFormat="1"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0" xfId="0" applyAlignment="1">
      <alignment wrapText="1"/>
    </xf>
    <xf numFmtId="0" fontId="1" fillId="0" borderId="9" xfId="0" applyFont="1" applyBorder="1" applyAlignment="1">
      <alignment horizontal="right"/>
    </xf>
    <xf numFmtId="0" fontId="1" fillId="0" borderId="3" xfId="0" applyFont="1" applyBorder="1" applyAlignment="1">
      <alignment horizontal="right"/>
    </xf>
    <xf numFmtId="0" fontId="1" fillId="0" borderId="10" xfId="0" applyFont="1" applyBorder="1" applyAlignment="1">
      <alignment horizontal="right"/>
    </xf>
    <xf numFmtId="0" fontId="1" fillId="0" borderId="5" xfId="0" applyFont="1" applyBorder="1" applyAlignment="1">
      <alignment horizontal="right"/>
    </xf>
    <xf numFmtId="0" fontId="1" fillId="0" borderId="11" xfId="0" applyFont="1" applyBorder="1" applyAlignment="1">
      <alignment horizontal="right"/>
    </xf>
    <xf numFmtId="0" fontId="1" fillId="0" borderId="8" xfId="0" applyFont="1" applyBorder="1" applyAlignment="1">
      <alignment horizontal="right"/>
    </xf>
    <xf numFmtId="0" fontId="1" fillId="0" borderId="0" xfId="0" applyFont="1" applyAlignment="1">
      <alignment horizontal="right"/>
    </xf>
    <xf numFmtId="49" fontId="0" fillId="0" borderId="0" xfId="0" applyNumberFormat="1"/>
    <xf numFmtId="0" fontId="0" fillId="0" borderId="1" xfId="0" applyBorder="1" applyAlignment="1">
      <alignment wrapText="1"/>
    </xf>
    <xf numFmtId="0" fontId="0" fillId="0" borderId="3" xfId="0" applyBorder="1" applyAlignment="1">
      <alignment wrapText="1"/>
    </xf>
    <xf numFmtId="0" fontId="0" fillId="0" borderId="5" xfId="0" applyBorder="1"/>
    <xf numFmtId="0" fontId="0" fillId="0" borderId="4" xfId="0" applyBorder="1"/>
    <xf numFmtId="0" fontId="0" fillId="0" borderId="8" xfId="0" applyBorder="1"/>
    <xf numFmtId="164" fontId="0" fillId="0" borderId="0" xfId="0" applyNumberFormat="1"/>
    <xf numFmtId="10" fontId="0" fillId="0" borderId="0" xfId="0" applyNumberFormat="1"/>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wrapText="1"/>
    </xf>
    <xf numFmtId="0" fontId="5" fillId="0" borderId="4" xfId="0" applyFont="1" applyBorder="1"/>
    <xf numFmtId="0" fontId="5" fillId="0" borderId="5" xfId="0" applyFont="1" applyBorder="1"/>
    <xf numFmtId="0" fontId="5" fillId="0" borderId="6" xfId="0" applyFont="1" applyBorder="1"/>
    <xf numFmtId="0" fontId="5" fillId="0" borderId="8" xfId="0" applyFont="1" applyBorder="1"/>
    <xf numFmtId="0" fontId="5" fillId="0" borderId="10" xfId="0" applyFont="1" applyBorder="1"/>
    <xf numFmtId="0" fontId="5" fillId="0" borderId="11" xfId="0" applyFont="1" applyBorder="1"/>
    <xf numFmtId="0" fontId="1" fillId="0" borderId="12" xfId="0" applyFont="1" applyBorder="1"/>
    <xf numFmtId="0" fontId="1" fillId="0" borderId="1"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8" fillId="0" borderId="0" xfId="0" applyFont="1"/>
    <xf numFmtId="0" fontId="1" fillId="0" borderId="14" xfId="0" applyFont="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4" borderId="0" xfId="0" applyFont="1" applyFill="1"/>
    <xf numFmtId="1" fontId="1" fillId="0" borderId="20" xfId="0" applyNumberFormat="1" applyFont="1" applyBorder="1" applyAlignment="1">
      <alignment horizontal="center"/>
    </xf>
    <xf numFmtId="1" fontId="2" fillId="4" borderId="3" xfId="0" applyNumberFormat="1" applyFont="1" applyFill="1" applyBorder="1" applyAlignment="1">
      <alignment horizontal="center"/>
    </xf>
    <xf numFmtId="1" fontId="2" fillId="4" borderId="5" xfId="0" applyNumberFormat="1" applyFont="1" applyFill="1" applyBorder="1" applyAlignment="1">
      <alignment horizontal="center"/>
    </xf>
    <xf numFmtId="1" fontId="1" fillId="4" borderId="5" xfId="0" applyNumberFormat="1" applyFont="1" applyFill="1" applyBorder="1" applyAlignment="1">
      <alignment horizontal="center"/>
    </xf>
    <xf numFmtId="1" fontId="1" fillId="4" borderId="8" xfId="0" applyNumberFormat="1" applyFont="1" applyFill="1" applyBorder="1" applyAlignment="1">
      <alignment horizontal="center"/>
    </xf>
    <xf numFmtId="1" fontId="1" fillId="4" borderId="0" xfId="0" applyNumberFormat="1" applyFont="1" applyFill="1" applyAlignment="1">
      <alignment horizontal="center"/>
    </xf>
    <xf numFmtId="1" fontId="1" fillId="4" borderId="3" xfId="0" applyNumberFormat="1" applyFont="1" applyFill="1" applyBorder="1" applyAlignment="1">
      <alignment horizontal="center"/>
    </xf>
    <xf numFmtId="9" fontId="1" fillId="4" borderId="0" xfId="0" applyNumberFormat="1" applyFont="1" applyFill="1"/>
    <xf numFmtId="0" fontId="1" fillId="0" borderId="0" xfId="0" applyFont="1" applyAlignment="1">
      <alignment horizont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 fillId="2" borderId="0" xfId="0" applyFont="1" applyFill="1" applyAlignment="1">
      <alignment horizontal="center"/>
    </xf>
    <xf numFmtId="0" fontId="8" fillId="0" borderId="0" xfId="0" applyFont="1" applyAlignment="1">
      <alignment horizontal="center"/>
    </xf>
    <xf numFmtId="0" fontId="1" fillId="2" borderId="7" xfId="0" applyFont="1" applyFill="1" applyBorder="1" applyAlignment="1">
      <alignment horizontal="center"/>
    </xf>
    <xf numFmtId="0" fontId="7" fillId="0" borderId="0" xfId="0" applyFont="1" applyAlignment="1">
      <alignment horizontal="center"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110490</xdr:colOff>
      <xdr:row>19</xdr:row>
      <xdr:rowOff>160020</xdr:rowOff>
    </xdr:from>
    <xdr:to>
      <xdr:col>9</xdr:col>
      <xdr:colOff>11430</xdr:colOff>
      <xdr:row>29</xdr:row>
      <xdr:rowOff>175260</xdr:rowOff>
    </xdr:to>
    <xdr:sp macro="" textlink="">
      <xdr:nvSpPr>
        <xdr:cNvPr id="2" name="TextBox 1">
          <a:extLst>
            <a:ext uri="{FF2B5EF4-FFF2-40B4-BE49-F238E27FC236}">
              <a16:creationId xmlns:a16="http://schemas.microsoft.com/office/drawing/2014/main" id="{F0CA6752-FD45-8C79-862C-0400EDC926D5}"/>
            </a:ext>
          </a:extLst>
        </xdr:cNvPr>
        <xdr:cNvSpPr txBox="1"/>
      </xdr:nvSpPr>
      <xdr:spPr>
        <a:xfrm>
          <a:off x="110490" y="4015740"/>
          <a:ext cx="6515100" cy="2651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highest level of assistance will be provided to households that have the lowest incomes and the highest energy costs or needs relative to their income, taking into account the size of the family.</a:t>
          </a:r>
        </a:p>
        <a:p>
          <a:r>
            <a:rPr lang="en-US" sz="1100" b="0" i="0">
              <a:solidFill>
                <a:schemeClr val="dk1"/>
              </a:solidFill>
              <a:effectLst/>
              <a:latin typeface="+mn-lt"/>
              <a:ea typeface="+mn-ea"/>
              <a:cs typeface="+mn-cs"/>
            </a:rPr>
            <a:t>The methodology for point assignment takes into account factors such as household size, income POP, and the cost of the main heating fuel. Each point is equivalent to 16.66, which is based on a maximum benefit of $250.00.</a:t>
          </a:r>
        </a:p>
        <a:p>
          <a:r>
            <a:rPr lang="en-US" sz="1100" b="0" i="0">
              <a:solidFill>
                <a:schemeClr val="dk1"/>
              </a:solidFill>
              <a:effectLst/>
              <a:latin typeface="+mn-lt"/>
              <a:ea typeface="+mn-ea"/>
              <a:cs typeface="+mn-cs"/>
            </a:rPr>
            <a:t>One point is allocated for each member in the household.</a:t>
          </a:r>
        </a:p>
        <a:p>
          <a:r>
            <a:rPr lang="en-US" sz="1100" b="0" i="0">
              <a:solidFill>
                <a:schemeClr val="dk1"/>
              </a:solidFill>
              <a:effectLst/>
              <a:latin typeface="+mn-lt"/>
              <a:ea typeface="+mn-ea"/>
              <a:cs typeface="+mn-cs"/>
            </a:rPr>
            <a:t>Points are assigned to different income brackets, with a higher number of points allocated to lower incomes. This is to ensure that the households with the lowest incomes receive the highest level of assistance. The income brackets are determined based on the Long Household report.</a:t>
          </a:r>
        </a:p>
        <a:p>
          <a:r>
            <a:rPr lang="en-US" sz="1100" b="0" i="0">
              <a:solidFill>
                <a:schemeClr val="dk1"/>
              </a:solidFill>
              <a:effectLst/>
              <a:latin typeface="+mn-lt"/>
              <a:ea typeface="+mn-ea"/>
              <a:cs typeface="+mn-cs"/>
            </a:rPr>
            <a:t>Regarding fuel points, the highest points are awarded to those with the highest costs of main heating fuel.</a:t>
          </a:r>
        </a:p>
        <a:p>
          <a:r>
            <a:rPr lang="en-US" sz="1100" b="0" i="0">
              <a:solidFill>
                <a:schemeClr val="dk1"/>
              </a:solidFill>
              <a:effectLst/>
              <a:latin typeface="+mn-lt"/>
              <a:ea typeface="+mn-ea"/>
              <a:cs typeface="+mn-cs"/>
            </a:rPr>
            <a:t>To determine the benefit amount, all the points for a household are added together and then multiplied by 16.66.  For example 1 single person household</a:t>
          </a:r>
          <a:r>
            <a:rPr lang="en-US" sz="1100" b="0" i="0" baseline="0">
              <a:solidFill>
                <a:schemeClr val="dk1"/>
              </a:solidFill>
              <a:effectLst/>
              <a:latin typeface="+mn-lt"/>
              <a:ea typeface="+mn-ea"/>
              <a:cs typeface="+mn-cs"/>
            </a:rPr>
            <a:t> with income at 45%FPL heating with electric would receive 1 point for HH size, 4 points for Income pop and 6 points for fuel costs.  11 points x 16.66= 183.26 (adjusted POP =184.00)</a:t>
          </a:r>
          <a:endParaRPr lang="en-US" sz="1100" b="0" i="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Bowling, Vickie (CHFS DCBS DFS)" id="{9A8AFE4B-BDF9-4B8F-A30E-E5B971155F0D}" userId="S::Vickie.Bowling@ky.gov::bc91449c-f84d-451f-ab5a-52d5fee9869c" providerId="AD"/>
  <person displayName="Hinkle, Jessica P (CHFS DCBS DFS PDB)" id="{416891FE-E00D-40A2-BED0-DCA48E38909A}" userId="S::jessica.hinkle@ky.gov::f2c8b3f0-1a56-4998-82fa-001c995926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 dT="2024-06-06T13:52:27.41" personId="{416891FE-E00D-40A2-BED0-DCA48E38909A}" id="{014BC00B-9567-45B8-B9CF-AE17CEA59239}">
    <text>Pls automate to FPL chart.</text>
  </threadedComment>
  <threadedComment ref="M4" dT="2024-06-06T13:51:23.24" personId="{416891FE-E00D-40A2-BED0-DCA48E38909A}" id="{1CFFB526-7BEA-4B39-ACA6-9BAF4D2119DD}">
    <text>Write a simple, short narrative to define point system.</text>
  </threadedComment>
  <threadedComment ref="Q9" dT="2024-06-10T14:55:07.43" personId="{9A8AFE4B-BDF9-4B8F-A30E-E5B971155F0D}" id="{1D3BDAAF-7D55-497F-80E1-26BF519289B3}">
    <text>Can you put a formula in here so we can adjust the amounts next year?</tex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4-06-06T13:47:37.31" personId="{416891FE-E00D-40A2-BED0-DCA48E38909A}" id="{51547559-7AD6-4CBC-9087-37F8ECD98C99}">
    <text>Please automate column D with column Q-T as each year the amounts will change.</text>
  </threadedComment>
  <threadedComment ref="R9" dT="2024-06-10T14:56:29.28" personId="{9A8AFE4B-BDF9-4B8F-A30E-E5B971155F0D}" id="{D915AB0A-AD71-4526-93FC-9E30B7312823}">
    <text>Can a formula be put in this column to match the chart on the left side of the page?</text>
  </threadedComment>
  <threadedComment ref="Q26" dT="2024-06-06T13:47:58.32" personId="{416891FE-E00D-40A2-BED0-DCA48E38909A}" id="{6918047D-D164-492C-B9F7-C76CA4AB973A}">
    <text>Please add percentages.</text>
  </threadedComment>
  <threadedComment ref="D45" dT="2024-06-06T13:47:37.31" personId="{416891FE-E00D-40A2-BED0-DCA48E38909A}" id="{3491EA96-70BB-4D82-A74F-342EA539406A}">
    <text>Please automate column D with column Q-T as each year the amounts will change.</text>
  </threadedComment>
</ThreadedComments>
</file>

<file path=xl/threadedComments/threadedComment3.xml><?xml version="1.0" encoding="utf-8"?>
<ThreadedComments xmlns="http://schemas.microsoft.com/office/spreadsheetml/2018/threadedcomments" xmlns:x="http://schemas.openxmlformats.org/spreadsheetml/2006/main">
  <threadedComment ref="D3" dT="2024-06-06T13:54:03.97" personId="{416891FE-E00D-40A2-BED0-DCA48E38909A}" id="{E26C4996-384F-4907-81FD-5B4E13134B44}">
    <text>Pls automate to FPL chart as it will change annually.</text>
  </threadedComment>
  <threadedComment ref="O10" dT="2024-06-10T14:57:35.39" personId="{9A8AFE4B-BDF9-4B8F-A30E-E5B971155F0D}" id="{8C18123C-D0A2-4AA7-B5B6-F2D0FBE458F0}">
    <text>Can a formula be put here to match the left side of the page?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07D54-845E-4A16-B6FD-574A59113980}">
  <dimension ref="A1:T41"/>
  <sheetViews>
    <sheetView workbookViewId="0">
      <selection activeCell="A22" sqref="A22"/>
    </sheetView>
    <sheetView workbookViewId="1">
      <selection activeCell="Q11" sqref="Q11"/>
    </sheetView>
  </sheetViews>
  <sheetFormatPr defaultColWidth="8.81640625" defaultRowHeight="12" x14ac:dyDescent="0.3"/>
  <cols>
    <col min="1" max="2" width="9.453125" style="2" customWidth="1"/>
    <col min="3" max="3" width="10.08984375" style="2" customWidth="1"/>
    <col min="4" max="5" width="8.81640625" style="2"/>
    <col min="6" max="6" width="11.08984375" style="2" customWidth="1"/>
    <col min="7" max="15" width="8.81640625" style="2"/>
    <col min="16" max="16" width="0" style="2" hidden="1" customWidth="1"/>
    <col min="17" max="16384" width="8.81640625" style="2"/>
  </cols>
  <sheetData>
    <row r="1" spans="1:20" x14ac:dyDescent="0.3">
      <c r="A1" s="81" t="s">
        <v>12</v>
      </c>
      <c r="B1" s="81"/>
      <c r="C1" s="81"/>
      <c r="D1" s="81"/>
      <c r="E1" s="81" t="s">
        <v>9</v>
      </c>
      <c r="F1" s="81"/>
      <c r="G1" s="81"/>
      <c r="H1" s="81"/>
      <c r="I1" s="81"/>
      <c r="J1" s="81"/>
      <c r="K1" s="2" t="s">
        <v>10</v>
      </c>
    </row>
    <row r="2" spans="1:20" s="1" customFormat="1" ht="24.5" thickBot="1" x14ac:dyDescent="0.35">
      <c r="A2" s="8" t="s">
        <v>0</v>
      </c>
      <c r="B2" s="8"/>
      <c r="C2" s="85" t="s">
        <v>1</v>
      </c>
      <c r="D2" s="85"/>
      <c r="E2" s="9" t="s">
        <v>2</v>
      </c>
      <c r="F2" s="9" t="s">
        <v>3</v>
      </c>
      <c r="G2" s="9" t="s">
        <v>6</v>
      </c>
      <c r="H2" s="9" t="s">
        <v>5</v>
      </c>
      <c r="I2" s="9" t="s">
        <v>4</v>
      </c>
      <c r="J2" s="9" t="s">
        <v>7</v>
      </c>
      <c r="K2" s="25" t="s">
        <v>11</v>
      </c>
      <c r="O2" s="1" t="s">
        <v>42</v>
      </c>
      <c r="Q2" s="1">
        <v>250</v>
      </c>
    </row>
    <row r="3" spans="1:20" x14ac:dyDescent="0.3">
      <c r="A3" s="82">
        <v>1</v>
      </c>
      <c r="B3" s="10" t="s">
        <v>13</v>
      </c>
      <c r="C3" s="13">
        <v>0</v>
      </c>
      <c r="D3" s="74">
        <f>Q27</f>
        <v>942</v>
      </c>
      <c r="E3" s="35">
        <f>1+4+6</f>
        <v>11</v>
      </c>
      <c r="F3" s="35">
        <f>1+4+3</f>
        <v>8</v>
      </c>
      <c r="G3" s="35">
        <f>1+4+5</f>
        <v>10</v>
      </c>
      <c r="H3" s="35">
        <f>1+4+2</f>
        <v>7</v>
      </c>
      <c r="I3" s="35">
        <f>1+4+1</f>
        <v>6</v>
      </c>
      <c r="J3" s="36">
        <f>1+4+4</f>
        <v>9</v>
      </c>
      <c r="K3" s="35"/>
    </row>
    <row r="4" spans="1:20" x14ac:dyDescent="0.3">
      <c r="A4" s="83"/>
      <c r="B4" s="2" t="s">
        <v>14</v>
      </c>
      <c r="C4" s="15">
        <f>D3+1</f>
        <v>943</v>
      </c>
      <c r="D4" s="75">
        <f>R27</f>
        <v>1255</v>
      </c>
      <c r="E4" s="37">
        <f>1+3+6</f>
        <v>10</v>
      </c>
      <c r="F4" s="37">
        <f>1+3+3</f>
        <v>7</v>
      </c>
      <c r="G4" s="37">
        <f>1+3+5</f>
        <v>9</v>
      </c>
      <c r="H4" s="37">
        <f>1+3+2</f>
        <v>6</v>
      </c>
      <c r="I4" s="37">
        <f>1+3+1</f>
        <v>5</v>
      </c>
      <c r="J4" s="38">
        <f>1+3+4</f>
        <v>8</v>
      </c>
      <c r="K4" s="37"/>
      <c r="M4" s="72"/>
    </row>
    <row r="5" spans="1:20" x14ac:dyDescent="0.3">
      <c r="A5" s="83"/>
      <c r="B5" s="2" t="s">
        <v>15</v>
      </c>
      <c r="C5" s="15">
        <f>D4+1</f>
        <v>1256</v>
      </c>
      <c r="D5" s="76">
        <f>S27</f>
        <v>1569</v>
      </c>
      <c r="E5" s="37">
        <f>1+2+6</f>
        <v>9</v>
      </c>
      <c r="F5" s="37">
        <f>1+2+3</f>
        <v>6</v>
      </c>
      <c r="G5" s="37">
        <f>1+2+5</f>
        <v>8</v>
      </c>
      <c r="H5" s="37">
        <f>1+2+2</f>
        <v>5</v>
      </c>
      <c r="I5" s="37">
        <f>1+2+1</f>
        <v>4</v>
      </c>
      <c r="J5" s="38">
        <f>1+2+4</f>
        <v>7</v>
      </c>
      <c r="K5" s="37"/>
    </row>
    <row r="6" spans="1:20" ht="12.5" thickBot="1" x14ac:dyDescent="0.35">
      <c r="A6" s="84"/>
      <c r="B6" s="11" t="s">
        <v>16</v>
      </c>
      <c r="C6" s="18">
        <f>D5+1</f>
        <v>1570</v>
      </c>
      <c r="D6" s="77">
        <f>T27</f>
        <v>1883</v>
      </c>
      <c r="E6" s="39">
        <f>1+1+6</f>
        <v>8</v>
      </c>
      <c r="F6" s="39">
        <f>1+1+3</f>
        <v>5</v>
      </c>
      <c r="G6" s="39">
        <f>1+1+5</f>
        <v>7</v>
      </c>
      <c r="H6" s="39">
        <f>1+1+2</f>
        <v>4</v>
      </c>
      <c r="I6" s="39">
        <f>1+1+1</f>
        <v>3</v>
      </c>
      <c r="J6" s="40">
        <f>1+1+4</f>
        <v>6</v>
      </c>
      <c r="K6" s="39"/>
      <c r="O6" s="3"/>
      <c r="P6" s="3"/>
    </row>
    <row r="7" spans="1:20" ht="12.5" thickBot="1" x14ac:dyDescent="0.35">
      <c r="A7" s="1"/>
      <c r="C7" s="12"/>
      <c r="D7" s="78"/>
      <c r="E7" s="41"/>
      <c r="F7" s="41"/>
      <c r="G7" s="41"/>
      <c r="H7" s="41"/>
      <c r="I7" s="41"/>
      <c r="J7" s="41"/>
      <c r="K7" s="41"/>
    </row>
    <row r="8" spans="1:20" ht="21" x14ac:dyDescent="0.3">
      <c r="A8" s="82">
        <v>2</v>
      </c>
      <c r="B8" s="10" t="s">
        <v>13</v>
      </c>
      <c r="C8" s="15">
        <v>0</v>
      </c>
      <c r="D8" s="76">
        <f>Q28</f>
        <v>1278</v>
      </c>
      <c r="E8" s="35">
        <f>2+6+4</f>
        <v>12</v>
      </c>
      <c r="F8" s="35">
        <f>2+4+3</f>
        <v>9</v>
      </c>
      <c r="G8" s="35">
        <f>2+5+4</f>
        <v>11</v>
      </c>
      <c r="H8" s="35">
        <f>2+1+4</f>
        <v>7</v>
      </c>
      <c r="I8" s="35">
        <f>2+1+4</f>
        <v>7</v>
      </c>
      <c r="J8" s="35">
        <f>2+4+4</f>
        <v>10</v>
      </c>
      <c r="K8" s="35"/>
      <c r="O8" s="6" t="s">
        <v>8</v>
      </c>
      <c r="P8" s="7">
        <v>1</v>
      </c>
      <c r="Q8" s="7">
        <v>0.75</v>
      </c>
      <c r="R8" s="7">
        <v>1</v>
      </c>
      <c r="S8" s="7">
        <v>1.25</v>
      </c>
      <c r="T8" s="7">
        <v>1.5</v>
      </c>
    </row>
    <row r="9" spans="1:20" x14ac:dyDescent="0.3">
      <c r="A9" s="83"/>
      <c r="B9" s="2" t="s">
        <v>14</v>
      </c>
      <c r="C9" s="15">
        <f>D8+1</f>
        <v>1279</v>
      </c>
      <c r="D9" s="76">
        <f>R28</f>
        <v>1704</v>
      </c>
      <c r="E9" s="37">
        <f>2+6+3</f>
        <v>11</v>
      </c>
      <c r="F9" s="37">
        <v>8</v>
      </c>
      <c r="G9" s="37">
        <v>10</v>
      </c>
      <c r="H9" s="37">
        <v>6</v>
      </c>
      <c r="I9" s="37">
        <f>2+1+3</f>
        <v>6</v>
      </c>
      <c r="J9" s="37">
        <f>2+4+3</f>
        <v>9</v>
      </c>
      <c r="K9" s="37"/>
      <c r="O9" s="5">
        <v>1</v>
      </c>
      <c r="P9" s="4">
        <v>1255</v>
      </c>
      <c r="Q9" s="4">
        <f>ROUNDUP(941.25,2)</f>
        <v>941.25</v>
      </c>
      <c r="R9" s="4">
        <v>1255</v>
      </c>
      <c r="S9" s="4">
        <v>1568.75</v>
      </c>
      <c r="T9" s="4">
        <v>1882.5</v>
      </c>
    </row>
    <row r="10" spans="1:20" x14ac:dyDescent="0.3">
      <c r="A10" s="83"/>
      <c r="B10" s="2" t="s">
        <v>15</v>
      </c>
      <c r="C10" s="15">
        <f t="shared" ref="C10:C11" si="0">D9+1</f>
        <v>1705</v>
      </c>
      <c r="D10" s="76">
        <f>S28</f>
        <v>2130</v>
      </c>
      <c r="E10" s="37">
        <f>2+6+2</f>
        <v>10</v>
      </c>
      <c r="F10" s="37">
        <v>7</v>
      </c>
      <c r="G10" s="37">
        <v>9</v>
      </c>
      <c r="H10" s="37">
        <v>5</v>
      </c>
      <c r="I10" s="37">
        <f>2+1+2</f>
        <v>5</v>
      </c>
      <c r="J10" s="37">
        <f>2+4+2</f>
        <v>8</v>
      </c>
      <c r="K10" s="37"/>
      <c r="O10" s="5">
        <v>2</v>
      </c>
      <c r="P10" s="4">
        <v>1703.3333333333333</v>
      </c>
      <c r="Q10" s="4">
        <v>1277.5</v>
      </c>
      <c r="R10" s="4">
        <v>1703.3333333333333</v>
      </c>
      <c r="S10" s="4">
        <v>2129.1666666666665</v>
      </c>
      <c r="T10" s="4">
        <v>2555</v>
      </c>
    </row>
    <row r="11" spans="1:20" ht="12.5" thickBot="1" x14ac:dyDescent="0.35">
      <c r="A11" s="84"/>
      <c r="B11" s="11" t="s">
        <v>16</v>
      </c>
      <c r="C11" s="18">
        <f t="shared" si="0"/>
        <v>2131</v>
      </c>
      <c r="D11" s="77">
        <f>T28</f>
        <v>2555</v>
      </c>
      <c r="E11" s="39">
        <f>2+6+1</f>
        <v>9</v>
      </c>
      <c r="F11" s="39">
        <v>6</v>
      </c>
      <c r="G11" s="39">
        <v>8</v>
      </c>
      <c r="H11" s="39">
        <v>4</v>
      </c>
      <c r="I11" s="39">
        <f>2+1+1</f>
        <v>4</v>
      </c>
      <c r="J11" s="39">
        <f>2+4+1</f>
        <v>7</v>
      </c>
      <c r="K11" s="39"/>
      <c r="O11" s="5">
        <v>3</v>
      </c>
      <c r="P11" s="4">
        <v>2151.6666666666665</v>
      </c>
      <c r="Q11" s="4">
        <v>1613.75</v>
      </c>
      <c r="R11" s="4">
        <v>2151.6666666666665</v>
      </c>
      <c r="S11" s="4">
        <v>2689.5833333333335</v>
      </c>
      <c r="T11" s="4">
        <v>3227.5</v>
      </c>
    </row>
    <row r="12" spans="1:20" ht="12.5" thickBot="1" x14ac:dyDescent="0.35">
      <c r="C12" s="12"/>
      <c r="D12" s="78"/>
      <c r="E12" s="41"/>
      <c r="F12" s="41"/>
      <c r="G12" s="41"/>
      <c r="H12" s="41"/>
      <c r="I12" s="41"/>
      <c r="J12" s="41"/>
      <c r="K12" s="41"/>
      <c r="O12" s="5">
        <v>4</v>
      </c>
      <c r="P12" s="4">
        <v>2600</v>
      </c>
      <c r="Q12" s="4">
        <v>1950</v>
      </c>
      <c r="R12" s="4">
        <v>2600</v>
      </c>
      <c r="S12" s="4">
        <v>3250</v>
      </c>
      <c r="T12" s="4">
        <v>3900</v>
      </c>
    </row>
    <row r="13" spans="1:20" x14ac:dyDescent="0.3">
      <c r="A13" s="82">
        <v>3</v>
      </c>
      <c r="B13" s="10" t="s">
        <v>13</v>
      </c>
      <c r="C13" s="13">
        <v>0</v>
      </c>
      <c r="D13" s="79">
        <f>Q29</f>
        <v>1614</v>
      </c>
      <c r="E13" s="35">
        <f>3+6+4</f>
        <v>13</v>
      </c>
      <c r="F13" s="35">
        <f>3+3+4</f>
        <v>10</v>
      </c>
      <c r="G13" s="35">
        <f>3+5+4</f>
        <v>12</v>
      </c>
      <c r="H13" s="35">
        <f>3+2+4</f>
        <v>9</v>
      </c>
      <c r="I13" s="35">
        <f>3+1+4</f>
        <v>8</v>
      </c>
      <c r="J13" s="35">
        <f>3+4+4</f>
        <v>11</v>
      </c>
      <c r="K13" s="35"/>
      <c r="O13" s="5">
        <v>5</v>
      </c>
      <c r="P13" s="4">
        <v>3048.3333333333335</v>
      </c>
      <c r="Q13" s="4">
        <v>2286.25</v>
      </c>
      <c r="R13" s="4">
        <v>3048.3333333333335</v>
      </c>
      <c r="S13" s="4">
        <v>3810.4166666666665</v>
      </c>
      <c r="T13" s="4">
        <v>4572.5</v>
      </c>
    </row>
    <row r="14" spans="1:20" x14ac:dyDescent="0.3">
      <c r="A14" s="83"/>
      <c r="B14" s="2" t="s">
        <v>14</v>
      </c>
      <c r="C14" s="15">
        <f>D13+1</f>
        <v>1615</v>
      </c>
      <c r="D14" s="76">
        <f>R29</f>
        <v>2152</v>
      </c>
      <c r="E14" s="37">
        <f>3+6+3</f>
        <v>12</v>
      </c>
      <c r="F14" s="37">
        <f>3+3+3</f>
        <v>9</v>
      </c>
      <c r="G14" s="37">
        <f>3+5+3</f>
        <v>11</v>
      </c>
      <c r="H14" s="37">
        <f>3+2+3</f>
        <v>8</v>
      </c>
      <c r="I14" s="37">
        <f>3+1+3</f>
        <v>7</v>
      </c>
      <c r="J14" s="37">
        <f>3+4+3</f>
        <v>10</v>
      </c>
      <c r="K14" s="37"/>
      <c r="O14" s="5">
        <v>6</v>
      </c>
      <c r="P14" s="4">
        <v>3496.6666666666665</v>
      </c>
      <c r="Q14" s="4">
        <v>2622.5</v>
      </c>
      <c r="R14" s="4">
        <v>3496.6666666666665</v>
      </c>
      <c r="S14" s="4">
        <v>4370.833333333333</v>
      </c>
      <c r="T14" s="4">
        <v>5245</v>
      </c>
    </row>
    <row r="15" spans="1:20" x14ac:dyDescent="0.3">
      <c r="A15" s="83"/>
      <c r="B15" s="2" t="s">
        <v>15</v>
      </c>
      <c r="C15" s="15">
        <f t="shared" ref="C15:C41" si="1">D14+1</f>
        <v>2153</v>
      </c>
      <c r="D15" s="76">
        <f>S29</f>
        <v>2690</v>
      </c>
      <c r="E15" s="37">
        <f>3+6+2</f>
        <v>11</v>
      </c>
      <c r="F15" s="37">
        <f>3+3+2</f>
        <v>8</v>
      </c>
      <c r="G15" s="37">
        <f>3+5+2</f>
        <v>10</v>
      </c>
      <c r="H15" s="37">
        <f>3+2+2</f>
        <v>7</v>
      </c>
      <c r="I15" s="37">
        <f>3+1+2</f>
        <v>6</v>
      </c>
      <c r="J15" s="37">
        <f>3+4+2</f>
        <v>9</v>
      </c>
      <c r="K15" s="37"/>
      <c r="O15" s="5">
        <v>7</v>
      </c>
      <c r="P15" s="4">
        <v>3945</v>
      </c>
      <c r="Q15" s="4">
        <v>2958.75</v>
      </c>
      <c r="R15" s="4">
        <v>3945</v>
      </c>
      <c r="S15" s="4">
        <v>4931.25</v>
      </c>
      <c r="T15" s="4">
        <v>5917.5</v>
      </c>
    </row>
    <row r="16" spans="1:20" ht="12.5" thickBot="1" x14ac:dyDescent="0.35">
      <c r="A16" s="84"/>
      <c r="B16" s="11" t="s">
        <v>16</v>
      </c>
      <c r="C16" s="18">
        <f t="shared" si="1"/>
        <v>2691</v>
      </c>
      <c r="D16" s="77">
        <f>T29</f>
        <v>3228</v>
      </c>
      <c r="E16" s="39">
        <f>3+6+1</f>
        <v>10</v>
      </c>
      <c r="F16" s="39">
        <f>3+3+1</f>
        <v>7</v>
      </c>
      <c r="G16" s="39">
        <f>3+5+1</f>
        <v>9</v>
      </c>
      <c r="H16" s="39">
        <f>3+2+1</f>
        <v>6</v>
      </c>
      <c r="I16" s="39">
        <f>3+1+1</f>
        <v>5</v>
      </c>
      <c r="J16" s="39">
        <f>3+4+1</f>
        <v>8</v>
      </c>
      <c r="K16" s="39"/>
      <c r="O16" s="5">
        <v>8</v>
      </c>
      <c r="P16" s="4">
        <v>4393.333333333333</v>
      </c>
      <c r="Q16" s="4">
        <v>3295</v>
      </c>
      <c r="R16" s="4">
        <v>4393.333333333333</v>
      </c>
      <c r="S16" s="4">
        <v>5491.666666666667</v>
      </c>
      <c r="T16" s="4">
        <v>6590</v>
      </c>
    </row>
    <row r="17" spans="1:20" ht="12.5" thickBot="1" x14ac:dyDescent="0.35">
      <c r="C17" s="12"/>
      <c r="D17" s="78"/>
      <c r="E17" s="41"/>
      <c r="F17" s="41"/>
      <c r="G17" s="41"/>
      <c r="H17" s="41"/>
      <c r="I17" s="41"/>
      <c r="J17" s="41"/>
      <c r="K17" s="41"/>
      <c r="O17" s="5">
        <v>9</v>
      </c>
      <c r="P17" s="4">
        <v>4841.666666666667</v>
      </c>
      <c r="Q17" s="4">
        <v>3631.25</v>
      </c>
      <c r="R17" s="4">
        <v>4841.666666666667</v>
      </c>
      <c r="S17" s="4">
        <v>6052.083333333333</v>
      </c>
      <c r="T17" s="4">
        <v>7262.5</v>
      </c>
    </row>
    <row r="18" spans="1:20" x14ac:dyDescent="0.3">
      <c r="A18" s="82">
        <v>4</v>
      </c>
      <c r="B18" s="10" t="s">
        <v>13</v>
      </c>
      <c r="C18" s="13">
        <v>0</v>
      </c>
      <c r="D18" s="79">
        <f>Q30</f>
        <v>1950</v>
      </c>
      <c r="E18" s="35">
        <f>4+6+4</f>
        <v>14</v>
      </c>
      <c r="F18" s="35">
        <f>4+3+4</f>
        <v>11</v>
      </c>
      <c r="G18" s="35">
        <f>4+5+4</f>
        <v>13</v>
      </c>
      <c r="H18" s="35">
        <f>4+2+4</f>
        <v>10</v>
      </c>
      <c r="I18" s="35">
        <f>4+1+4</f>
        <v>9</v>
      </c>
      <c r="J18" s="36">
        <f>4+4+4</f>
        <v>12</v>
      </c>
      <c r="K18" s="35"/>
      <c r="O18" s="5">
        <v>10</v>
      </c>
      <c r="P18" s="4">
        <v>5290</v>
      </c>
      <c r="Q18" s="4">
        <v>3967.5</v>
      </c>
      <c r="R18" s="4">
        <v>5290</v>
      </c>
      <c r="S18" s="4">
        <v>6612.5</v>
      </c>
      <c r="T18" s="4">
        <v>7935</v>
      </c>
    </row>
    <row r="19" spans="1:20" x14ac:dyDescent="0.3">
      <c r="A19" s="83"/>
      <c r="B19" s="2" t="s">
        <v>14</v>
      </c>
      <c r="C19" s="15">
        <f t="shared" si="1"/>
        <v>1951</v>
      </c>
      <c r="D19" s="76">
        <f>R30</f>
        <v>2600</v>
      </c>
      <c r="E19" s="37">
        <f>4+6+3</f>
        <v>13</v>
      </c>
      <c r="F19" s="37">
        <f>4+3+3</f>
        <v>10</v>
      </c>
      <c r="G19" s="37">
        <f>4+5+3</f>
        <v>12</v>
      </c>
      <c r="H19" s="37">
        <f>4+2+3</f>
        <v>9</v>
      </c>
      <c r="I19" s="37">
        <f>4+1+3</f>
        <v>8</v>
      </c>
      <c r="J19" s="38">
        <f>4+4+3</f>
        <v>11</v>
      </c>
      <c r="K19" s="37"/>
      <c r="O19" s="5">
        <v>11</v>
      </c>
      <c r="P19" s="4">
        <v>5738.333333333333</v>
      </c>
      <c r="Q19" s="4">
        <v>4303.75</v>
      </c>
      <c r="R19" s="4">
        <v>5738.333333333333</v>
      </c>
      <c r="S19" s="4">
        <v>7172.916666666667</v>
      </c>
      <c r="T19" s="4">
        <v>8607.5</v>
      </c>
    </row>
    <row r="20" spans="1:20" x14ac:dyDescent="0.3">
      <c r="A20" s="83"/>
      <c r="B20" s="2" t="s">
        <v>15</v>
      </c>
      <c r="C20" s="15">
        <f t="shared" si="1"/>
        <v>2601</v>
      </c>
      <c r="D20" s="76">
        <f>S30</f>
        <v>3250</v>
      </c>
      <c r="E20" s="37">
        <f>4+6+2</f>
        <v>12</v>
      </c>
      <c r="F20" s="37">
        <f>4+3+2</f>
        <v>9</v>
      </c>
      <c r="G20" s="37">
        <f>4+5+2</f>
        <v>11</v>
      </c>
      <c r="H20" s="37">
        <f>4+2+2</f>
        <v>8</v>
      </c>
      <c r="I20" s="37">
        <f>4+1+2</f>
        <v>7</v>
      </c>
      <c r="J20" s="38">
        <f>4+4+2</f>
        <v>10</v>
      </c>
      <c r="K20" s="37"/>
      <c r="O20" s="5">
        <v>12</v>
      </c>
      <c r="P20" s="4">
        <v>6186.666666666667</v>
      </c>
      <c r="Q20" s="4">
        <v>4640</v>
      </c>
      <c r="R20" s="4">
        <v>6186.666666666667</v>
      </c>
      <c r="S20" s="4">
        <v>7733.333333333333</v>
      </c>
      <c r="T20" s="4">
        <v>9280</v>
      </c>
    </row>
    <row r="21" spans="1:20" ht="12.5" thickBot="1" x14ac:dyDescent="0.35">
      <c r="A21" s="84"/>
      <c r="B21" s="11" t="s">
        <v>16</v>
      </c>
      <c r="C21" s="18">
        <f t="shared" si="1"/>
        <v>3251</v>
      </c>
      <c r="D21" s="77">
        <f>T30</f>
        <v>3900</v>
      </c>
      <c r="E21" s="39">
        <f>4+6+1</f>
        <v>11</v>
      </c>
      <c r="F21" s="39">
        <f>4+3+1</f>
        <v>8</v>
      </c>
      <c r="G21" s="39">
        <f>4+5+1</f>
        <v>10</v>
      </c>
      <c r="H21" s="39">
        <f>4+2+1</f>
        <v>7</v>
      </c>
      <c r="I21" s="39">
        <f>4+1+1</f>
        <v>6</v>
      </c>
      <c r="J21" s="40">
        <f>4+4+1</f>
        <v>9</v>
      </c>
      <c r="K21" s="39"/>
      <c r="O21" s="5">
        <v>13</v>
      </c>
      <c r="P21" s="4">
        <v>6635</v>
      </c>
      <c r="Q21" s="4">
        <v>4976.25</v>
      </c>
      <c r="R21" s="4">
        <v>6635</v>
      </c>
      <c r="S21" s="4">
        <v>8293.75</v>
      </c>
      <c r="T21" s="4">
        <v>9952.5</v>
      </c>
    </row>
    <row r="22" spans="1:20" ht="12.5" thickBot="1" x14ac:dyDescent="0.35">
      <c r="A22" s="2" t="s">
        <v>49</v>
      </c>
      <c r="C22" s="12"/>
      <c r="D22" s="78"/>
      <c r="E22" s="41"/>
      <c r="F22" s="41"/>
      <c r="G22" s="41"/>
      <c r="H22" s="41"/>
      <c r="I22" s="41"/>
      <c r="J22" s="41"/>
      <c r="K22" s="41"/>
      <c r="O22" s="5">
        <v>14</v>
      </c>
      <c r="P22" s="4">
        <v>7083.333333333333</v>
      </c>
      <c r="Q22" s="4">
        <v>5312.5</v>
      </c>
      <c r="R22" s="4">
        <v>7083.333333333333</v>
      </c>
      <c r="S22" s="4">
        <v>8854.1666666666661</v>
      </c>
      <c r="T22" s="4">
        <v>10625</v>
      </c>
    </row>
    <row r="23" spans="1:20" x14ac:dyDescent="0.3">
      <c r="A23" s="82">
        <v>5</v>
      </c>
      <c r="B23" s="10" t="s">
        <v>13</v>
      </c>
      <c r="C23" s="13">
        <f>0</f>
        <v>0</v>
      </c>
      <c r="D23" s="79">
        <f>Q31</f>
        <v>2287</v>
      </c>
      <c r="E23" s="35">
        <f>5+6+4</f>
        <v>15</v>
      </c>
      <c r="F23" s="35">
        <f>5+3+4</f>
        <v>12</v>
      </c>
      <c r="G23" s="35">
        <f>5+5+4</f>
        <v>14</v>
      </c>
      <c r="H23" s="35">
        <f>5+2+4</f>
        <v>11</v>
      </c>
      <c r="I23" s="35">
        <f>5+1+4</f>
        <v>10</v>
      </c>
      <c r="J23" s="35">
        <f>5+4+4</f>
        <v>13</v>
      </c>
      <c r="K23" s="35"/>
    </row>
    <row r="24" spans="1:20" x14ac:dyDescent="0.3">
      <c r="A24" s="83"/>
      <c r="B24" s="2" t="s">
        <v>14</v>
      </c>
      <c r="C24" s="15">
        <f t="shared" si="1"/>
        <v>2288</v>
      </c>
      <c r="D24" s="76">
        <f>R31</f>
        <v>3049</v>
      </c>
      <c r="E24" s="37">
        <f>5+6+3</f>
        <v>14</v>
      </c>
      <c r="F24" s="37">
        <f>5+3+3</f>
        <v>11</v>
      </c>
      <c r="G24" s="37">
        <f>5+5+3</f>
        <v>13</v>
      </c>
      <c r="H24" s="37">
        <f>5+2+3</f>
        <v>10</v>
      </c>
      <c r="I24" s="37">
        <f>5+1+3</f>
        <v>9</v>
      </c>
      <c r="J24" s="37">
        <f>5+4+3</f>
        <v>12</v>
      </c>
      <c r="K24" s="37"/>
    </row>
    <row r="25" spans="1:20" x14ac:dyDescent="0.3">
      <c r="A25" s="83"/>
      <c r="B25" s="2" t="s">
        <v>15</v>
      </c>
      <c r="C25" s="15">
        <f t="shared" si="1"/>
        <v>3050</v>
      </c>
      <c r="D25" s="76">
        <f>S31</f>
        <v>3811</v>
      </c>
      <c r="E25" s="37">
        <f>5+6+2</f>
        <v>13</v>
      </c>
      <c r="F25" s="37">
        <f>5+3+2</f>
        <v>10</v>
      </c>
      <c r="G25" s="37">
        <f>5+5+2</f>
        <v>12</v>
      </c>
      <c r="H25" s="37">
        <f>5+2+2</f>
        <v>9</v>
      </c>
      <c r="I25" s="37">
        <f>5+1+2</f>
        <v>8</v>
      </c>
      <c r="J25" s="37">
        <f>5+4+2</f>
        <v>11</v>
      </c>
      <c r="K25" s="37"/>
      <c r="O25" s="2" t="s">
        <v>17</v>
      </c>
    </row>
    <row r="26" spans="1:20" ht="12.75" customHeight="1" thickBot="1" x14ac:dyDescent="0.35">
      <c r="A26" s="84"/>
      <c r="B26" s="11" t="s">
        <v>16</v>
      </c>
      <c r="C26" s="18">
        <f t="shared" si="1"/>
        <v>3812</v>
      </c>
      <c r="D26" s="77">
        <f>T31</f>
        <v>4573</v>
      </c>
      <c r="E26" s="39">
        <f>5+6+1</f>
        <v>12</v>
      </c>
      <c r="F26" s="39">
        <f>5+3+1</f>
        <v>9</v>
      </c>
      <c r="G26" s="39">
        <f>5+5+1</f>
        <v>11</v>
      </c>
      <c r="H26" s="39">
        <f>5+2+1</f>
        <v>8</v>
      </c>
      <c r="I26" s="39">
        <f>5+1+1</f>
        <v>7</v>
      </c>
      <c r="J26" s="39">
        <f>5+4+1</f>
        <v>10</v>
      </c>
      <c r="K26" s="39"/>
      <c r="O26" s="6" t="s">
        <v>8</v>
      </c>
    </row>
    <row r="27" spans="1:20" ht="12.5" thickBot="1" x14ac:dyDescent="0.35">
      <c r="C27" s="12"/>
      <c r="D27" s="78"/>
      <c r="O27" s="5">
        <v>1</v>
      </c>
      <c r="Q27" s="4">
        <f>ISO.CEILING(Q9)</f>
        <v>942</v>
      </c>
      <c r="R27" s="4">
        <f t="shared" ref="R27:T27" si="2">ISO.CEILING(R9)</f>
        <v>1255</v>
      </c>
      <c r="S27" s="4">
        <f t="shared" si="2"/>
        <v>1569</v>
      </c>
      <c r="T27" s="4">
        <f t="shared" si="2"/>
        <v>1883</v>
      </c>
    </row>
    <row r="28" spans="1:20" x14ac:dyDescent="0.3">
      <c r="A28" s="82">
        <v>6</v>
      </c>
      <c r="B28" s="10" t="s">
        <v>13</v>
      </c>
      <c r="C28" s="13">
        <v>0</v>
      </c>
      <c r="D28" s="79">
        <f>Q32</f>
        <v>2623</v>
      </c>
      <c r="E28" s="35">
        <f>5+6+4</f>
        <v>15</v>
      </c>
      <c r="F28" s="35">
        <f>5+3+4</f>
        <v>12</v>
      </c>
      <c r="G28" s="35">
        <f>5+5+4</f>
        <v>14</v>
      </c>
      <c r="H28" s="35">
        <f>5+2+4</f>
        <v>11</v>
      </c>
      <c r="I28" s="35">
        <f>5+1+4</f>
        <v>10</v>
      </c>
      <c r="J28" s="35">
        <f>5+4+4</f>
        <v>13</v>
      </c>
      <c r="K28" s="24"/>
      <c r="O28" s="5">
        <v>2</v>
      </c>
      <c r="Q28" s="4">
        <f t="shared" ref="Q28:T40" si="3">ISO.CEILING(Q10)</f>
        <v>1278</v>
      </c>
      <c r="R28" s="4">
        <f t="shared" si="3"/>
        <v>1704</v>
      </c>
      <c r="S28" s="4">
        <f t="shared" si="3"/>
        <v>2130</v>
      </c>
      <c r="T28" s="4">
        <f t="shared" si="3"/>
        <v>2555</v>
      </c>
    </row>
    <row r="29" spans="1:20" x14ac:dyDescent="0.3">
      <c r="A29" s="83"/>
      <c r="B29" s="2" t="s">
        <v>14</v>
      </c>
      <c r="C29" s="15">
        <f t="shared" si="1"/>
        <v>2624</v>
      </c>
      <c r="D29" s="76">
        <f>R32</f>
        <v>3497</v>
      </c>
      <c r="E29" s="37">
        <f>5+6+3</f>
        <v>14</v>
      </c>
      <c r="F29" s="37">
        <f>5+3+3</f>
        <v>11</v>
      </c>
      <c r="G29" s="37">
        <f>5+5+3</f>
        <v>13</v>
      </c>
      <c r="H29" s="37">
        <f>5+2+3</f>
        <v>10</v>
      </c>
      <c r="I29" s="37">
        <f>5+1+3</f>
        <v>9</v>
      </c>
      <c r="J29" s="37">
        <f>5+4+3</f>
        <v>12</v>
      </c>
      <c r="K29" s="22"/>
      <c r="O29" s="5">
        <v>3</v>
      </c>
      <c r="Q29" s="4">
        <f t="shared" si="3"/>
        <v>1614</v>
      </c>
      <c r="R29" s="4">
        <f t="shared" si="3"/>
        <v>2152</v>
      </c>
      <c r="S29" s="4">
        <f t="shared" si="3"/>
        <v>2690</v>
      </c>
      <c r="T29" s="4">
        <f t="shared" si="3"/>
        <v>3228</v>
      </c>
    </row>
    <row r="30" spans="1:20" x14ac:dyDescent="0.3">
      <c r="A30" s="83"/>
      <c r="B30" s="2" t="s">
        <v>15</v>
      </c>
      <c r="C30" s="15">
        <f t="shared" si="1"/>
        <v>3498</v>
      </c>
      <c r="D30" s="76">
        <f>S32</f>
        <v>4371</v>
      </c>
      <c r="E30" s="37">
        <f>5+6+2</f>
        <v>13</v>
      </c>
      <c r="F30" s="37">
        <f>5+3+2</f>
        <v>10</v>
      </c>
      <c r="G30" s="37">
        <f>5+5+2</f>
        <v>12</v>
      </c>
      <c r="H30" s="37">
        <f>5+2+2</f>
        <v>9</v>
      </c>
      <c r="I30" s="37">
        <f>5+1+2</f>
        <v>8</v>
      </c>
      <c r="J30" s="37">
        <f>5+4+2</f>
        <v>11</v>
      </c>
      <c r="K30" s="22"/>
      <c r="O30" s="5">
        <v>4</v>
      </c>
      <c r="Q30" s="4">
        <f t="shared" si="3"/>
        <v>1950</v>
      </c>
      <c r="R30" s="4">
        <f t="shared" si="3"/>
        <v>2600</v>
      </c>
      <c r="S30" s="4">
        <f t="shared" si="3"/>
        <v>3250</v>
      </c>
      <c r="T30" s="4">
        <f t="shared" si="3"/>
        <v>3900</v>
      </c>
    </row>
    <row r="31" spans="1:20" ht="12.5" thickBot="1" x14ac:dyDescent="0.35">
      <c r="A31" s="84"/>
      <c r="B31" s="11" t="s">
        <v>16</v>
      </c>
      <c r="C31" s="18">
        <f t="shared" si="1"/>
        <v>4372</v>
      </c>
      <c r="D31" s="77">
        <f>T32</f>
        <v>5245</v>
      </c>
      <c r="E31" s="39">
        <f>5+6+1</f>
        <v>12</v>
      </c>
      <c r="F31" s="39">
        <f>5+3+1</f>
        <v>9</v>
      </c>
      <c r="G31" s="39">
        <f>5+5+1</f>
        <v>11</v>
      </c>
      <c r="H31" s="39">
        <f>5+2+1</f>
        <v>8</v>
      </c>
      <c r="I31" s="39">
        <f>5+1+1</f>
        <v>7</v>
      </c>
      <c r="J31" s="39">
        <f>5+4+1</f>
        <v>10</v>
      </c>
      <c r="K31" s="23"/>
      <c r="O31" s="5">
        <v>5</v>
      </c>
      <c r="Q31" s="4">
        <f t="shared" si="3"/>
        <v>2287</v>
      </c>
      <c r="R31" s="4">
        <f t="shared" si="3"/>
        <v>3049</v>
      </c>
      <c r="S31" s="4">
        <f t="shared" si="3"/>
        <v>3811</v>
      </c>
      <c r="T31" s="4">
        <f t="shared" si="3"/>
        <v>4573</v>
      </c>
    </row>
    <row r="32" spans="1:20" ht="12.5" thickBot="1" x14ac:dyDescent="0.35">
      <c r="C32" s="12"/>
      <c r="D32" s="78"/>
      <c r="O32" s="5">
        <v>6</v>
      </c>
      <c r="Q32" s="4">
        <f t="shared" si="3"/>
        <v>2623</v>
      </c>
      <c r="R32" s="4">
        <f t="shared" si="3"/>
        <v>3497</v>
      </c>
      <c r="S32" s="4">
        <f t="shared" si="3"/>
        <v>4371</v>
      </c>
      <c r="T32" s="4">
        <f t="shared" si="3"/>
        <v>5245</v>
      </c>
    </row>
    <row r="33" spans="1:20" x14ac:dyDescent="0.3">
      <c r="A33" s="82">
        <v>7</v>
      </c>
      <c r="B33" s="10" t="s">
        <v>13</v>
      </c>
      <c r="C33" s="13">
        <v>0</v>
      </c>
      <c r="D33" s="79">
        <f>Q33</f>
        <v>2959</v>
      </c>
      <c r="E33" s="35">
        <f>5+6+4</f>
        <v>15</v>
      </c>
      <c r="F33" s="35">
        <f>5+3+4</f>
        <v>12</v>
      </c>
      <c r="G33" s="35">
        <f>5+5+4</f>
        <v>14</v>
      </c>
      <c r="H33" s="35">
        <f>5+2+4</f>
        <v>11</v>
      </c>
      <c r="I33" s="35">
        <f>5+1+4</f>
        <v>10</v>
      </c>
      <c r="J33" s="35">
        <f>5+4+4</f>
        <v>13</v>
      </c>
      <c r="K33" s="24"/>
      <c r="O33" s="5">
        <v>7</v>
      </c>
      <c r="Q33" s="4">
        <f t="shared" si="3"/>
        <v>2959</v>
      </c>
      <c r="R33" s="4">
        <f t="shared" si="3"/>
        <v>3945</v>
      </c>
      <c r="S33" s="4">
        <f t="shared" si="3"/>
        <v>4932</v>
      </c>
      <c r="T33" s="4">
        <f t="shared" si="3"/>
        <v>5918</v>
      </c>
    </row>
    <row r="34" spans="1:20" x14ac:dyDescent="0.3">
      <c r="A34" s="83"/>
      <c r="B34" s="2" t="s">
        <v>14</v>
      </c>
      <c r="C34" s="15">
        <f t="shared" si="1"/>
        <v>2960</v>
      </c>
      <c r="D34" s="76">
        <f>R33</f>
        <v>3945</v>
      </c>
      <c r="E34" s="37">
        <f>5+6+3</f>
        <v>14</v>
      </c>
      <c r="F34" s="37">
        <f>5+3+3</f>
        <v>11</v>
      </c>
      <c r="G34" s="37">
        <f>5+5+3</f>
        <v>13</v>
      </c>
      <c r="H34" s="37">
        <f>5+2+3</f>
        <v>10</v>
      </c>
      <c r="I34" s="37">
        <f>5+1+3</f>
        <v>9</v>
      </c>
      <c r="J34" s="37">
        <f>5+4+3</f>
        <v>12</v>
      </c>
      <c r="K34" s="22"/>
      <c r="O34" s="5">
        <v>8</v>
      </c>
      <c r="Q34" s="4">
        <f t="shared" si="3"/>
        <v>3295</v>
      </c>
      <c r="R34" s="4">
        <f t="shared" si="3"/>
        <v>4394</v>
      </c>
      <c r="S34" s="4">
        <f t="shared" si="3"/>
        <v>5492</v>
      </c>
      <c r="T34" s="4">
        <f t="shared" si="3"/>
        <v>6590</v>
      </c>
    </row>
    <row r="35" spans="1:20" x14ac:dyDescent="0.3">
      <c r="A35" s="83"/>
      <c r="B35" s="2" t="s">
        <v>15</v>
      </c>
      <c r="C35" s="15">
        <f t="shared" si="1"/>
        <v>3946</v>
      </c>
      <c r="D35" s="76">
        <f>S33</f>
        <v>4932</v>
      </c>
      <c r="E35" s="37">
        <f>5+6+2</f>
        <v>13</v>
      </c>
      <c r="F35" s="37">
        <f>5+3+2</f>
        <v>10</v>
      </c>
      <c r="G35" s="37">
        <f>5+5+2</f>
        <v>12</v>
      </c>
      <c r="H35" s="37">
        <f>5+2+2</f>
        <v>9</v>
      </c>
      <c r="I35" s="37">
        <f>5+1+2</f>
        <v>8</v>
      </c>
      <c r="J35" s="37">
        <f>5+4+2</f>
        <v>11</v>
      </c>
      <c r="K35" s="22"/>
      <c r="O35" s="5">
        <v>9</v>
      </c>
      <c r="Q35" s="4">
        <f t="shared" si="3"/>
        <v>3632</v>
      </c>
      <c r="R35" s="4">
        <f t="shared" si="3"/>
        <v>4842</v>
      </c>
      <c r="S35" s="4">
        <f t="shared" si="3"/>
        <v>6053</v>
      </c>
      <c r="T35" s="4">
        <f t="shared" si="3"/>
        <v>7263</v>
      </c>
    </row>
    <row r="36" spans="1:20" ht="12.5" thickBot="1" x14ac:dyDescent="0.35">
      <c r="A36" s="84"/>
      <c r="B36" s="11" t="s">
        <v>16</v>
      </c>
      <c r="C36" s="18">
        <f t="shared" si="1"/>
        <v>4933</v>
      </c>
      <c r="D36" s="77">
        <f>T33</f>
        <v>5918</v>
      </c>
      <c r="E36" s="39">
        <f>5+6+1</f>
        <v>12</v>
      </c>
      <c r="F36" s="39">
        <f>5+3+1</f>
        <v>9</v>
      </c>
      <c r="G36" s="39">
        <f>5+5+1</f>
        <v>11</v>
      </c>
      <c r="H36" s="39">
        <f>5+2+1</f>
        <v>8</v>
      </c>
      <c r="I36" s="39">
        <f>5+1+1</f>
        <v>7</v>
      </c>
      <c r="J36" s="39">
        <f>5+4+1</f>
        <v>10</v>
      </c>
      <c r="K36" s="23"/>
      <c r="O36" s="5">
        <v>10</v>
      </c>
      <c r="Q36" s="4">
        <f t="shared" si="3"/>
        <v>3968</v>
      </c>
      <c r="R36" s="4">
        <f t="shared" si="3"/>
        <v>5290</v>
      </c>
      <c r="S36" s="4">
        <f t="shared" si="3"/>
        <v>6613</v>
      </c>
      <c r="T36" s="4">
        <f t="shared" si="3"/>
        <v>7935</v>
      </c>
    </row>
    <row r="37" spans="1:20" ht="12.5" thickBot="1" x14ac:dyDescent="0.35">
      <c r="C37" s="12"/>
      <c r="D37" s="78"/>
      <c r="O37" s="5">
        <v>11</v>
      </c>
      <c r="Q37" s="4">
        <f t="shared" si="3"/>
        <v>4304</v>
      </c>
      <c r="R37" s="4">
        <f t="shared" si="3"/>
        <v>5739</v>
      </c>
      <c r="S37" s="4">
        <f t="shared" si="3"/>
        <v>7173</v>
      </c>
      <c r="T37" s="4">
        <f t="shared" si="3"/>
        <v>8608</v>
      </c>
    </row>
    <row r="38" spans="1:20" x14ac:dyDescent="0.3">
      <c r="A38" s="82">
        <v>8</v>
      </c>
      <c r="B38" s="10" t="s">
        <v>13</v>
      </c>
      <c r="C38" s="13">
        <v>0</v>
      </c>
      <c r="D38" s="79">
        <f>Q34</f>
        <v>3295</v>
      </c>
      <c r="E38" s="35">
        <f>5+6+4</f>
        <v>15</v>
      </c>
      <c r="F38" s="35">
        <f>5+3+4</f>
        <v>12</v>
      </c>
      <c r="G38" s="35">
        <f>5+5+4</f>
        <v>14</v>
      </c>
      <c r="H38" s="35">
        <f>5+2+4</f>
        <v>11</v>
      </c>
      <c r="I38" s="35">
        <f>5+1+4</f>
        <v>10</v>
      </c>
      <c r="J38" s="35">
        <f>5+4+4</f>
        <v>13</v>
      </c>
      <c r="K38" s="24"/>
      <c r="O38" s="5">
        <v>12</v>
      </c>
      <c r="Q38" s="4">
        <f t="shared" si="3"/>
        <v>4640</v>
      </c>
      <c r="R38" s="4">
        <f t="shared" si="3"/>
        <v>6187</v>
      </c>
      <c r="S38" s="4">
        <f t="shared" si="3"/>
        <v>7734</v>
      </c>
      <c r="T38" s="4">
        <f t="shared" si="3"/>
        <v>9280</v>
      </c>
    </row>
    <row r="39" spans="1:20" x14ac:dyDescent="0.3">
      <c r="A39" s="83"/>
      <c r="B39" s="2" t="s">
        <v>14</v>
      </c>
      <c r="C39" s="15">
        <f t="shared" si="1"/>
        <v>3296</v>
      </c>
      <c r="D39" s="76">
        <f>R34</f>
        <v>4394</v>
      </c>
      <c r="E39" s="37">
        <f>5+6+3</f>
        <v>14</v>
      </c>
      <c r="F39" s="37">
        <f>5+3+3</f>
        <v>11</v>
      </c>
      <c r="G39" s="37">
        <f>5+5+3</f>
        <v>13</v>
      </c>
      <c r="H39" s="37">
        <f>5+2+3</f>
        <v>10</v>
      </c>
      <c r="I39" s="37">
        <f>5+1+3</f>
        <v>9</v>
      </c>
      <c r="J39" s="37">
        <f>5+4+3</f>
        <v>12</v>
      </c>
      <c r="K39" s="22"/>
      <c r="O39" s="5">
        <v>13</v>
      </c>
      <c r="Q39" s="4">
        <f t="shared" si="3"/>
        <v>4977</v>
      </c>
      <c r="R39" s="4">
        <f t="shared" si="3"/>
        <v>6635</v>
      </c>
      <c r="S39" s="4">
        <f t="shared" si="3"/>
        <v>8294</v>
      </c>
      <c r="T39" s="4">
        <f t="shared" si="3"/>
        <v>9953</v>
      </c>
    </row>
    <row r="40" spans="1:20" x14ac:dyDescent="0.3">
      <c r="A40" s="83"/>
      <c r="B40" s="2" t="s">
        <v>15</v>
      </c>
      <c r="C40" s="15">
        <f t="shared" si="1"/>
        <v>4395</v>
      </c>
      <c r="D40" s="76">
        <f>S34</f>
        <v>5492</v>
      </c>
      <c r="E40" s="37">
        <f>5+6+2</f>
        <v>13</v>
      </c>
      <c r="F40" s="37">
        <f>5+3+2</f>
        <v>10</v>
      </c>
      <c r="G40" s="37">
        <f>5+5+2</f>
        <v>12</v>
      </c>
      <c r="H40" s="37">
        <f>5+2+2</f>
        <v>9</v>
      </c>
      <c r="I40" s="37">
        <f>5+1+2</f>
        <v>8</v>
      </c>
      <c r="J40" s="37">
        <f>5+4+2</f>
        <v>11</v>
      </c>
      <c r="K40" s="22"/>
      <c r="O40" s="5">
        <v>14</v>
      </c>
      <c r="Q40" s="4">
        <f t="shared" si="3"/>
        <v>5313</v>
      </c>
      <c r="R40" s="4">
        <f t="shared" si="3"/>
        <v>7084</v>
      </c>
      <c r="S40" s="4">
        <f t="shared" si="3"/>
        <v>8855</v>
      </c>
      <c r="T40" s="4">
        <f t="shared" si="3"/>
        <v>10625</v>
      </c>
    </row>
    <row r="41" spans="1:20" ht="12.5" thickBot="1" x14ac:dyDescent="0.35">
      <c r="A41" s="84"/>
      <c r="B41" s="11" t="s">
        <v>16</v>
      </c>
      <c r="C41" s="18">
        <f t="shared" si="1"/>
        <v>5493</v>
      </c>
      <c r="D41" s="77">
        <f>T34</f>
        <v>6590</v>
      </c>
      <c r="E41" s="39">
        <f>5+6+1</f>
        <v>12</v>
      </c>
      <c r="F41" s="39">
        <f>5+3+1</f>
        <v>9</v>
      </c>
      <c r="G41" s="39">
        <f>5+5+1</f>
        <v>11</v>
      </c>
      <c r="H41" s="39">
        <f>5+2+1</f>
        <v>8</v>
      </c>
      <c r="I41" s="39">
        <f>5+1+1</f>
        <v>7</v>
      </c>
      <c r="J41" s="39">
        <f>5+4+1</f>
        <v>10</v>
      </c>
      <c r="K41" s="23"/>
    </row>
  </sheetData>
  <mergeCells count="11">
    <mergeCell ref="E1:J1"/>
    <mergeCell ref="A28:A31"/>
    <mergeCell ref="A33:A36"/>
    <mergeCell ref="A38:A41"/>
    <mergeCell ref="C2:D2"/>
    <mergeCell ref="A3:A6"/>
    <mergeCell ref="A8:A11"/>
    <mergeCell ref="A13:A16"/>
    <mergeCell ref="A18:A21"/>
    <mergeCell ref="A23:A26"/>
    <mergeCell ref="A1:D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E7B0E-0CD4-4565-A0FF-5226D7D2ABF0}">
  <dimension ref="A1:T83"/>
  <sheetViews>
    <sheetView workbookViewId="0">
      <selection activeCell="E8" sqref="E8"/>
    </sheetView>
    <sheetView workbookViewId="1">
      <selection sqref="A1:D1"/>
    </sheetView>
  </sheetViews>
  <sheetFormatPr defaultColWidth="8.81640625" defaultRowHeight="12" x14ac:dyDescent="0.3"/>
  <cols>
    <col min="1" max="2" width="9.453125" style="2" customWidth="1"/>
    <col min="3" max="3" width="10.08984375" style="2" customWidth="1"/>
    <col min="4" max="4" width="8.81640625" style="72"/>
    <col min="5" max="5" width="8.81640625" style="2"/>
    <col min="6" max="6" width="11.08984375" style="2" customWidth="1"/>
    <col min="7" max="11" width="8.81640625" style="2"/>
    <col min="12" max="12" width="0" style="2" hidden="1" customWidth="1"/>
    <col min="13" max="15" width="8.81640625" style="2"/>
    <col min="16" max="16" width="0" style="2" hidden="1" customWidth="1"/>
    <col min="17" max="16384" width="8.81640625" style="2"/>
  </cols>
  <sheetData>
    <row r="1" spans="1:20" x14ac:dyDescent="0.3">
      <c r="A1" s="86" t="s">
        <v>12</v>
      </c>
      <c r="B1" s="86"/>
      <c r="C1" s="86"/>
      <c r="D1" s="86"/>
      <c r="E1" s="86" t="s">
        <v>9</v>
      </c>
      <c r="F1" s="86"/>
      <c r="G1" s="86"/>
      <c r="H1" s="86"/>
      <c r="I1" s="86"/>
      <c r="J1" s="86"/>
      <c r="K1" s="64" t="s">
        <v>10</v>
      </c>
    </row>
    <row r="2" spans="1:20" s="1" customFormat="1" ht="24.5" thickBot="1" x14ac:dyDescent="0.35">
      <c r="A2" s="8" t="s">
        <v>0</v>
      </c>
      <c r="B2" s="8"/>
      <c r="C2" s="85" t="s">
        <v>1</v>
      </c>
      <c r="D2" s="85"/>
      <c r="E2" s="9" t="s">
        <v>2</v>
      </c>
      <c r="F2" s="9" t="s">
        <v>3</v>
      </c>
      <c r="G2" s="9" t="s">
        <v>6</v>
      </c>
      <c r="H2" s="9" t="s">
        <v>5</v>
      </c>
      <c r="I2" s="9" t="s">
        <v>4</v>
      </c>
      <c r="J2" s="9" t="s">
        <v>7</v>
      </c>
      <c r="K2" s="25" t="s">
        <v>11</v>
      </c>
    </row>
    <row r="3" spans="1:20" ht="12.5" thickBot="1" x14ac:dyDescent="0.35">
      <c r="A3" s="82">
        <v>1</v>
      </c>
      <c r="B3" s="10" t="s">
        <v>13</v>
      </c>
      <c r="C3" s="13">
        <v>0</v>
      </c>
      <c r="D3" s="74">
        <f>Q27</f>
        <v>942</v>
      </c>
      <c r="E3" s="21">
        <f>ROUNDUP('Subsidy points'!E3*L3,0)</f>
        <v>184</v>
      </c>
      <c r="F3" s="21">
        <f>ROUNDUP('Subsidy points'!F3*L3,0)</f>
        <v>134</v>
      </c>
      <c r="G3" s="21">
        <f>ROUNDUP('Subsidy points'!G3*L3,0)</f>
        <v>167</v>
      </c>
      <c r="H3" s="21">
        <f>ROUNDUP('Subsidy points'!H3*L3,0)</f>
        <v>117</v>
      </c>
      <c r="I3" s="21">
        <f>ROUNDUP('Subsidy points'!I3*L3,0)</f>
        <v>100</v>
      </c>
      <c r="J3" s="60">
        <f>ROUNDUP('Subsidy points'!J3*L3,0)</f>
        <v>150</v>
      </c>
      <c r="K3" s="61">
        <v>184</v>
      </c>
      <c r="L3" s="2">
        <v>16.66</v>
      </c>
      <c r="N3" s="2" t="s">
        <v>51</v>
      </c>
    </row>
    <row r="4" spans="1:20" ht="12.5" thickBot="1" x14ac:dyDescent="0.35">
      <c r="A4" s="83"/>
      <c r="B4" s="2" t="s">
        <v>14</v>
      </c>
      <c r="C4" s="15">
        <f>D3+1</f>
        <v>943</v>
      </c>
      <c r="D4" s="74">
        <f>R27</f>
        <v>1255</v>
      </c>
      <c r="E4" s="21">
        <f>ROUNDUP('Subsidy points'!E4*L4,0)</f>
        <v>167</v>
      </c>
      <c r="F4" s="21">
        <f>ROUNDUP('Subsidy points'!F4*L4,0)</f>
        <v>117</v>
      </c>
      <c r="G4" s="21">
        <f>ROUNDUP('Subsidy points'!G4*L4,0)</f>
        <v>150</v>
      </c>
      <c r="H4" s="21">
        <f>ROUNDUP('Subsidy points'!H4*L4,0)</f>
        <v>100</v>
      </c>
      <c r="I4" s="21">
        <f>ROUNDUP('Subsidy points'!I4*L4,0)</f>
        <v>84</v>
      </c>
      <c r="J4" s="60">
        <f>ROUNDUP('Subsidy points'!J4*L4,0)</f>
        <v>134</v>
      </c>
      <c r="K4" s="61">
        <v>167</v>
      </c>
      <c r="L4" s="2">
        <v>16.66</v>
      </c>
    </row>
    <row r="5" spans="1:20" ht="12.5" thickBot="1" x14ac:dyDescent="0.35">
      <c r="A5" s="83"/>
      <c r="B5" s="2" t="s">
        <v>15</v>
      </c>
      <c r="C5" s="15">
        <f>D4+1</f>
        <v>1256</v>
      </c>
      <c r="D5" s="74">
        <f>S27</f>
        <v>1569</v>
      </c>
      <c r="E5" s="21">
        <f>ROUNDUP('Subsidy points'!E5*L5,0)</f>
        <v>150</v>
      </c>
      <c r="F5" s="21">
        <f>ROUNDUP('Subsidy points'!F5*L5,0)</f>
        <v>100</v>
      </c>
      <c r="G5" s="21">
        <f>ROUNDUP('Subsidy points'!G5*L5,0)</f>
        <v>134</v>
      </c>
      <c r="H5" s="21">
        <f>ROUNDUP('Subsidy points'!H5*L5,0)</f>
        <v>84</v>
      </c>
      <c r="I5" s="21">
        <f>ROUNDUP('Subsidy points'!I5*L5,0)</f>
        <v>67</v>
      </c>
      <c r="J5" s="60">
        <f>ROUNDUP('Subsidy points'!J5*L5,0)</f>
        <v>117</v>
      </c>
      <c r="K5" s="61">
        <v>150</v>
      </c>
      <c r="L5" s="2">
        <v>16.66</v>
      </c>
    </row>
    <row r="6" spans="1:20" ht="12.5" thickBot="1" x14ac:dyDescent="0.35">
      <c r="A6" s="84"/>
      <c r="B6" s="11" t="s">
        <v>16</v>
      </c>
      <c r="C6" s="18">
        <f>D5+1</f>
        <v>1570</v>
      </c>
      <c r="D6" s="74">
        <f>T27</f>
        <v>1883</v>
      </c>
      <c r="E6" s="21">
        <f>ROUNDUP('Subsidy points'!E6*L6,0)</f>
        <v>134</v>
      </c>
      <c r="F6" s="21">
        <f>ROUNDUP('Subsidy points'!F6*L6,0)</f>
        <v>84</v>
      </c>
      <c r="G6" s="21">
        <f>ROUNDUP('Subsidy points'!G6*L6,0)</f>
        <v>117</v>
      </c>
      <c r="H6" s="21">
        <f>ROUNDUP('Subsidy points'!H6*L6,0)</f>
        <v>67</v>
      </c>
      <c r="I6" s="21">
        <f>ROUNDUP('Subsidy points'!I6*L6,0)</f>
        <v>50</v>
      </c>
      <c r="J6" s="60">
        <f>ROUNDUP('Subsidy points'!J6*L6,0)</f>
        <v>100</v>
      </c>
      <c r="K6" s="61">
        <v>134</v>
      </c>
      <c r="L6" s="2">
        <v>16.66</v>
      </c>
      <c r="O6" s="3"/>
      <c r="P6" s="3"/>
    </row>
    <row r="7" spans="1:20" ht="12.5" thickBot="1" x14ac:dyDescent="0.35">
      <c r="A7" s="1"/>
      <c r="C7" s="12"/>
      <c r="D7" s="78"/>
      <c r="E7" s="1"/>
      <c r="F7" s="1"/>
      <c r="G7" s="1"/>
      <c r="H7" s="1"/>
      <c r="I7" s="1"/>
      <c r="J7" s="1"/>
      <c r="K7" s="1"/>
      <c r="L7" s="2" t="s">
        <v>32</v>
      </c>
    </row>
    <row r="8" spans="1:20" ht="21.5" thickBot="1" x14ac:dyDescent="0.35">
      <c r="A8" s="82">
        <v>2</v>
      </c>
      <c r="B8" s="10" t="s">
        <v>13</v>
      </c>
      <c r="C8" s="73">
        <v>0</v>
      </c>
      <c r="D8" s="74">
        <f>Q28</f>
        <v>1278</v>
      </c>
      <c r="E8" s="21">
        <f>ROUNDUP('Subsidy points'!E8*L3,0)</f>
        <v>200</v>
      </c>
      <c r="F8" s="21">
        <f>ROUNDUP('Subsidy points'!F8*L3,0)</f>
        <v>150</v>
      </c>
      <c r="G8" s="21">
        <f>ROUNDUP('Subsidy points'!G8*L3,0)</f>
        <v>184</v>
      </c>
      <c r="H8" s="21">
        <f>ROUNDUP('Subsidy points'!H8*L3,0)</f>
        <v>117</v>
      </c>
      <c r="I8" s="21">
        <f>ROUNDUP('Subsidy points'!I8*L3,0)</f>
        <v>117</v>
      </c>
      <c r="J8" s="60">
        <f>ROUNDUP('Subsidy points'!J8*L3,0)</f>
        <v>167</v>
      </c>
      <c r="K8" s="61">
        <v>200</v>
      </c>
      <c r="L8" s="2">
        <v>16.66</v>
      </c>
      <c r="M8" s="59"/>
      <c r="O8" s="6" t="s">
        <v>8</v>
      </c>
      <c r="P8" s="7">
        <v>1</v>
      </c>
      <c r="Q8" s="7">
        <v>0.75</v>
      </c>
      <c r="R8" s="7">
        <v>1</v>
      </c>
      <c r="S8" s="7">
        <v>1.25</v>
      </c>
      <c r="T8" s="7">
        <v>1.5</v>
      </c>
    </row>
    <row r="9" spans="1:20" ht="12.5" thickBot="1" x14ac:dyDescent="0.35">
      <c r="A9" s="83"/>
      <c r="B9" s="2" t="s">
        <v>14</v>
      </c>
      <c r="C9" s="15">
        <f>D8+1</f>
        <v>1279</v>
      </c>
      <c r="D9" s="74">
        <f>R28</f>
        <v>1704</v>
      </c>
      <c r="E9" s="21">
        <f>ROUNDUP('Subsidy points'!E9*L4,0)</f>
        <v>184</v>
      </c>
      <c r="F9" s="21">
        <f>ROUNDUP('Subsidy points'!F9*L4,0)</f>
        <v>134</v>
      </c>
      <c r="G9" s="21">
        <f>ROUNDUP('Subsidy points'!G9*L4,0)</f>
        <v>167</v>
      </c>
      <c r="H9" s="21">
        <f>ROUNDUP('Subsidy points'!H9*L4,0)</f>
        <v>100</v>
      </c>
      <c r="I9" s="21">
        <f>ROUNDUP('Subsidy points'!I9*L4,0)</f>
        <v>100</v>
      </c>
      <c r="J9" s="60">
        <f>ROUNDUP('Subsidy points'!J9*L4,0)</f>
        <v>150</v>
      </c>
      <c r="K9" s="61">
        <v>184</v>
      </c>
      <c r="L9" s="2">
        <v>16.66</v>
      </c>
      <c r="O9" s="5">
        <v>1</v>
      </c>
      <c r="P9" s="4">
        <v>1255</v>
      </c>
      <c r="Q9" s="4">
        <f>ROUNDUP(941.25,2)</f>
        <v>941.25</v>
      </c>
      <c r="R9" s="4">
        <v>1255</v>
      </c>
      <c r="S9" s="4">
        <v>1568.75</v>
      </c>
      <c r="T9" s="4">
        <v>1882.5</v>
      </c>
    </row>
    <row r="10" spans="1:20" ht="12.5" thickBot="1" x14ac:dyDescent="0.35">
      <c r="A10" s="83"/>
      <c r="B10" s="2" t="s">
        <v>15</v>
      </c>
      <c r="C10" s="15">
        <f t="shared" ref="C10:C11" si="0">D9+1</f>
        <v>1705</v>
      </c>
      <c r="D10" s="74">
        <f>S28</f>
        <v>2130</v>
      </c>
      <c r="E10" s="21">
        <f>ROUNDUP('Subsidy points'!E10*L5,0)</f>
        <v>167</v>
      </c>
      <c r="F10" s="21">
        <f>ROUNDUP('Subsidy points'!F10*L5,0)</f>
        <v>117</v>
      </c>
      <c r="G10" s="21">
        <f>ROUNDUP('Subsidy points'!G10*L5,0)</f>
        <v>150</v>
      </c>
      <c r="H10" s="21">
        <f>ROUNDUP('Subsidy points'!H10*L5,0)</f>
        <v>84</v>
      </c>
      <c r="I10" s="21">
        <f>ROUNDUP('Subsidy points'!I10*L5,0)</f>
        <v>84</v>
      </c>
      <c r="J10" s="60">
        <f>ROUNDUP('Subsidy points'!J10*L5,0)</f>
        <v>134</v>
      </c>
      <c r="K10" s="61">
        <v>167</v>
      </c>
      <c r="L10" s="2">
        <v>16.66</v>
      </c>
      <c r="O10" s="5">
        <v>2</v>
      </c>
      <c r="P10" s="4">
        <v>1703.3333333333333</v>
      </c>
      <c r="Q10" s="4">
        <v>1277.5</v>
      </c>
      <c r="R10" s="4">
        <v>1703.3333333333333</v>
      </c>
      <c r="S10" s="4">
        <v>2129.1666666666665</v>
      </c>
      <c r="T10" s="4">
        <v>2555</v>
      </c>
    </row>
    <row r="11" spans="1:20" ht="12.5" thickBot="1" x14ac:dyDescent="0.35">
      <c r="A11" s="84"/>
      <c r="B11" s="11" t="s">
        <v>16</v>
      </c>
      <c r="C11" s="18">
        <f t="shared" si="0"/>
        <v>2131</v>
      </c>
      <c r="D11" s="74">
        <f>T28</f>
        <v>2555</v>
      </c>
      <c r="E11" s="21">
        <f>ROUNDUP('Subsidy points'!E11*L6,0)</f>
        <v>150</v>
      </c>
      <c r="F11" s="21">
        <f>ROUNDUP('Subsidy points'!F11*L6,0)</f>
        <v>100</v>
      </c>
      <c r="G11" s="21">
        <f>ROUNDUP('Subsidy points'!G11*L6,0)</f>
        <v>134</v>
      </c>
      <c r="H11" s="21">
        <f>ROUNDUP('Subsidy points'!H11*L6,0)</f>
        <v>67</v>
      </c>
      <c r="I11" s="21">
        <f>ROUNDUP('Subsidy points'!I11*L6,0)</f>
        <v>67</v>
      </c>
      <c r="J11" s="60">
        <f>ROUNDUP('Subsidy points'!J11*L6,0)</f>
        <v>117</v>
      </c>
      <c r="K11" s="61">
        <v>150</v>
      </c>
      <c r="L11" s="2">
        <v>16.66</v>
      </c>
      <c r="O11" s="5">
        <v>3</v>
      </c>
      <c r="P11" s="4">
        <v>2151.6666666666665</v>
      </c>
      <c r="Q11" s="4">
        <v>1613.75</v>
      </c>
      <c r="R11" s="4">
        <v>2151.6666666666665</v>
      </c>
      <c r="S11" s="4">
        <v>2689.3433333333301</v>
      </c>
      <c r="T11" s="4">
        <v>2827.5</v>
      </c>
    </row>
    <row r="12" spans="1:20" ht="12.5" thickBot="1" x14ac:dyDescent="0.35">
      <c r="C12" s="12"/>
      <c r="D12" s="78"/>
      <c r="E12" s="1"/>
      <c r="F12" s="1"/>
      <c r="G12" s="1"/>
      <c r="H12" s="1"/>
      <c r="I12" s="1"/>
      <c r="J12" s="1"/>
      <c r="K12" s="1"/>
      <c r="L12" s="2" t="s">
        <v>32</v>
      </c>
      <c r="O12" s="5">
        <v>4</v>
      </c>
      <c r="P12" s="4">
        <v>2600</v>
      </c>
      <c r="Q12" s="4">
        <v>1950</v>
      </c>
      <c r="R12" s="4">
        <v>2600</v>
      </c>
      <c r="S12" s="4">
        <v>2850</v>
      </c>
      <c r="T12" s="4">
        <v>3900</v>
      </c>
    </row>
    <row r="13" spans="1:20" ht="12.5" thickBot="1" x14ac:dyDescent="0.35">
      <c r="A13" s="82">
        <v>3</v>
      </c>
      <c r="B13" s="10" t="s">
        <v>13</v>
      </c>
      <c r="C13" s="13">
        <v>0</v>
      </c>
      <c r="D13" s="74">
        <f>Q29</f>
        <v>1614</v>
      </c>
      <c r="E13" s="21">
        <f>ROUNDUP('Subsidy points'!E13*L13,0)</f>
        <v>217</v>
      </c>
      <c r="F13" s="21">
        <f>ROUNDUP('Subsidy points'!F13*L13,0)</f>
        <v>167</v>
      </c>
      <c r="G13" s="21">
        <f>ROUNDUP('Subsidy points'!G13*L13,0)</f>
        <v>200</v>
      </c>
      <c r="H13" s="21">
        <f>ROUNDUP('Subsidy points'!H13*L13,0)</f>
        <v>150</v>
      </c>
      <c r="I13" s="21">
        <f>ROUNDUP('Subsidy points'!I13*L13,0)</f>
        <v>134</v>
      </c>
      <c r="J13" s="21">
        <f>ROUNDUP('Subsidy points'!J13*L13,0)</f>
        <v>184</v>
      </c>
      <c r="K13" s="21">
        <v>217</v>
      </c>
      <c r="L13" s="2">
        <v>16.66</v>
      </c>
      <c r="O13" s="5">
        <v>5</v>
      </c>
      <c r="P13" s="4">
        <v>3048.3333333333335</v>
      </c>
      <c r="Q13" s="4">
        <v>2286.25</v>
      </c>
      <c r="R13" s="4">
        <v>3048.3333333333335</v>
      </c>
      <c r="S13" s="4">
        <v>3810.4166666666665</v>
      </c>
      <c r="T13" s="4">
        <v>4572.5</v>
      </c>
    </row>
    <row r="14" spans="1:20" ht="12.5" thickBot="1" x14ac:dyDescent="0.35">
      <c r="A14" s="83"/>
      <c r="B14" s="2" t="s">
        <v>14</v>
      </c>
      <c r="C14" s="15">
        <f>D13+1</f>
        <v>1615</v>
      </c>
      <c r="D14" s="74">
        <f>R29</f>
        <v>2152</v>
      </c>
      <c r="E14" s="21">
        <f>ROUNDUP('Subsidy points'!E14*L14,0)</f>
        <v>200</v>
      </c>
      <c r="F14" s="21">
        <f>ROUNDUP('Subsidy points'!F14*L14,0)</f>
        <v>150</v>
      </c>
      <c r="G14" s="21">
        <f>ROUNDUP('Subsidy points'!G14*L14,0)</f>
        <v>184</v>
      </c>
      <c r="H14" s="21">
        <f>ROUNDUP('Subsidy points'!H14*L14,0)</f>
        <v>134</v>
      </c>
      <c r="I14" s="21">
        <f>ROUNDUP('Subsidy points'!I14*L14,0)</f>
        <v>117</v>
      </c>
      <c r="J14" s="21">
        <f>ROUNDUP('Subsidy points'!J14*L14,0)</f>
        <v>167</v>
      </c>
      <c r="K14" s="21">
        <v>200</v>
      </c>
      <c r="L14" s="2">
        <v>16.66</v>
      </c>
      <c r="O14" s="5">
        <v>6</v>
      </c>
      <c r="P14" s="4">
        <v>3496.6666666666665</v>
      </c>
      <c r="Q14" s="4">
        <v>2622.5</v>
      </c>
      <c r="R14" s="4">
        <v>3496.6666666666665</v>
      </c>
      <c r="S14" s="4">
        <v>4370.833333333333</v>
      </c>
      <c r="T14" s="4">
        <v>5245</v>
      </c>
    </row>
    <row r="15" spans="1:20" ht="12.5" thickBot="1" x14ac:dyDescent="0.35">
      <c r="A15" s="83"/>
      <c r="B15" s="2" t="s">
        <v>15</v>
      </c>
      <c r="C15" s="15">
        <f t="shared" ref="C15:C41" si="1">D14+1</f>
        <v>2153</v>
      </c>
      <c r="D15" s="74">
        <f>S29</f>
        <v>2690</v>
      </c>
      <c r="E15" s="21">
        <f>ROUNDUP('Subsidy points'!E15*L15,0)</f>
        <v>184</v>
      </c>
      <c r="F15" s="21">
        <f>ROUNDUP('Subsidy points'!F15*L15,0)</f>
        <v>134</v>
      </c>
      <c r="G15" s="21">
        <f>ROUNDUP('Subsidy points'!G15*L15,0)</f>
        <v>167</v>
      </c>
      <c r="H15" s="21">
        <f>ROUNDUP('Subsidy points'!H15*L15,0)</f>
        <v>117</v>
      </c>
      <c r="I15" s="21">
        <f>ROUNDUP('Subsidy points'!I15*L15,0)</f>
        <v>100</v>
      </c>
      <c r="J15" s="21">
        <f>ROUNDUP('Subsidy points'!J15*L15,0)</f>
        <v>150</v>
      </c>
      <c r="K15" s="21">
        <v>184</v>
      </c>
      <c r="L15" s="2">
        <v>16.66</v>
      </c>
      <c r="O15" s="5">
        <v>7</v>
      </c>
      <c r="P15" s="4">
        <v>3945</v>
      </c>
      <c r="Q15" s="4">
        <v>2934.75</v>
      </c>
      <c r="R15" s="4">
        <v>3945</v>
      </c>
      <c r="S15" s="4">
        <v>4931.25</v>
      </c>
      <c r="T15" s="4">
        <v>5917.5</v>
      </c>
    </row>
    <row r="16" spans="1:20" ht="12.5" thickBot="1" x14ac:dyDescent="0.35">
      <c r="A16" s="84"/>
      <c r="B16" s="11" t="s">
        <v>16</v>
      </c>
      <c r="C16" s="18">
        <f t="shared" si="1"/>
        <v>2691</v>
      </c>
      <c r="D16" s="74">
        <f>T29</f>
        <v>2828</v>
      </c>
      <c r="E16" s="21">
        <f>ROUNDUP('Subsidy points'!E16*L16,0)</f>
        <v>167</v>
      </c>
      <c r="F16" s="21">
        <f>ROUNDUP('Subsidy points'!F16*L16,0)</f>
        <v>117</v>
      </c>
      <c r="G16" s="21">
        <f>ROUNDUP('Subsidy points'!G16*L16,0)</f>
        <v>150</v>
      </c>
      <c r="H16" s="21">
        <f>ROUNDUP('Subsidy points'!H16*L16,0)</f>
        <v>100</v>
      </c>
      <c r="I16" s="21">
        <f>ROUNDUP('Subsidy points'!I16*L16,0)</f>
        <v>84</v>
      </c>
      <c r="J16" s="21">
        <f>ROUNDUP('Subsidy points'!J16*L16,0)</f>
        <v>134</v>
      </c>
      <c r="K16" s="21">
        <v>167</v>
      </c>
      <c r="L16" s="2">
        <v>16.66</v>
      </c>
      <c r="O16" s="5">
        <v>8</v>
      </c>
      <c r="P16" s="4">
        <v>4393.333333333333</v>
      </c>
      <c r="Q16" s="4">
        <v>2895</v>
      </c>
      <c r="R16" s="4">
        <v>4393.333333333333</v>
      </c>
      <c r="S16" s="4">
        <v>5491.666666666667</v>
      </c>
      <c r="T16" s="4">
        <v>6590</v>
      </c>
    </row>
    <row r="17" spans="1:20" ht="12.5" thickBot="1" x14ac:dyDescent="0.35">
      <c r="C17" s="12"/>
      <c r="D17" s="78"/>
      <c r="E17" s="1"/>
      <c r="F17" s="1"/>
      <c r="G17" s="1"/>
      <c r="H17" s="1"/>
      <c r="I17" s="1"/>
      <c r="J17" s="1"/>
      <c r="K17" s="1"/>
      <c r="L17" s="2" t="s">
        <v>32</v>
      </c>
      <c r="O17" s="5">
        <v>9</v>
      </c>
      <c r="P17" s="4">
        <v>4841.666666666667</v>
      </c>
      <c r="Q17" s="4">
        <v>3631.25</v>
      </c>
      <c r="R17" s="4">
        <v>4841.666666666667</v>
      </c>
      <c r="S17" s="4">
        <v>6052.083333333333</v>
      </c>
      <c r="T17" s="4">
        <v>7262.5</v>
      </c>
    </row>
    <row r="18" spans="1:20" ht="12.5" thickBot="1" x14ac:dyDescent="0.35">
      <c r="A18" s="82">
        <v>4</v>
      </c>
      <c r="B18" s="10" t="s">
        <v>13</v>
      </c>
      <c r="C18" s="13">
        <v>0</v>
      </c>
      <c r="D18" s="74">
        <f>Q30</f>
        <v>1950</v>
      </c>
      <c r="E18" s="21">
        <f>ROUNDUP('Subsidy points'!E18*L18,0)</f>
        <v>234</v>
      </c>
      <c r="F18" s="21">
        <f>ROUNDUP('Subsidy points'!F18*L18,0)</f>
        <v>184</v>
      </c>
      <c r="G18" s="21">
        <f>ROUNDUP('Subsidy points'!G18*L18,0)</f>
        <v>217</v>
      </c>
      <c r="H18" s="21">
        <f>ROUNDUP('Subsidy points'!H18*L18,0)</f>
        <v>167</v>
      </c>
      <c r="I18" s="21">
        <f>ROUNDUP('Subsidy points'!I18*L18,0)</f>
        <v>150</v>
      </c>
      <c r="J18" s="60">
        <f>ROUNDUP('Subsidy points'!J18*L18,0)</f>
        <v>200</v>
      </c>
      <c r="K18" s="61">
        <v>234</v>
      </c>
      <c r="L18" s="2">
        <v>16.66</v>
      </c>
      <c r="O18" s="5">
        <v>10</v>
      </c>
      <c r="P18" s="4">
        <v>5290</v>
      </c>
      <c r="Q18" s="4">
        <v>3967.5</v>
      </c>
      <c r="R18" s="4">
        <v>5290</v>
      </c>
      <c r="S18" s="4">
        <v>6612.5</v>
      </c>
      <c r="T18" s="4">
        <v>7935</v>
      </c>
    </row>
    <row r="19" spans="1:20" ht="12.5" thickBot="1" x14ac:dyDescent="0.35">
      <c r="A19" s="83"/>
      <c r="B19" s="2" t="s">
        <v>14</v>
      </c>
      <c r="C19" s="15">
        <f t="shared" si="1"/>
        <v>1951</v>
      </c>
      <c r="D19" s="74">
        <f>R30</f>
        <v>2600</v>
      </c>
      <c r="E19" s="21">
        <f>ROUNDUP('Subsidy points'!E19*L19,0)</f>
        <v>217</v>
      </c>
      <c r="F19" s="21">
        <f>ROUNDUP('Subsidy points'!F19*L19,0)</f>
        <v>167</v>
      </c>
      <c r="G19" s="21">
        <f>ROUNDUP('Subsidy points'!G19*L19,0)</f>
        <v>200</v>
      </c>
      <c r="H19" s="21">
        <f>ROUNDUP('Subsidy points'!H19*L19,0)</f>
        <v>150</v>
      </c>
      <c r="I19" s="21">
        <f>ROUNDUP('Subsidy points'!I19*L19,0)</f>
        <v>134</v>
      </c>
      <c r="J19" s="60">
        <f>ROUNDUP('Subsidy points'!J19*L19,0)</f>
        <v>184</v>
      </c>
      <c r="K19" s="61">
        <v>217</v>
      </c>
      <c r="L19" s="2">
        <v>16.66</v>
      </c>
      <c r="O19" s="5">
        <v>11</v>
      </c>
      <c r="P19" s="4">
        <v>5738.333333333333</v>
      </c>
      <c r="Q19" s="4">
        <v>4303.75</v>
      </c>
      <c r="R19" s="4">
        <v>5738.333333333333</v>
      </c>
      <c r="S19" s="4">
        <v>7172.916666666667</v>
      </c>
      <c r="T19" s="4">
        <v>8607.5</v>
      </c>
    </row>
    <row r="20" spans="1:20" ht="12.5" thickBot="1" x14ac:dyDescent="0.35">
      <c r="A20" s="83"/>
      <c r="B20" s="2" t="s">
        <v>15</v>
      </c>
      <c r="C20" s="15">
        <f t="shared" si="1"/>
        <v>2601</v>
      </c>
      <c r="D20" s="74">
        <f>S30</f>
        <v>2850</v>
      </c>
      <c r="E20" s="21">
        <f>ROUNDUP('Subsidy points'!E20*L20,0)</f>
        <v>200</v>
      </c>
      <c r="F20" s="21">
        <f>ROUNDUP('Subsidy points'!F20*L20,0)</f>
        <v>150</v>
      </c>
      <c r="G20" s="21">
        <f>ROUNDUP('Subsidy points'!G20*L20,0)</f>
        <v>184</v>
      </c>
      <c r="H20" s="21">
        <f>ROUNDUP('Subsidy points'!H20*L20,0)</f>
        <v>134</v>
      </c>
      <c r="I20" s="21">
        <f>ROUNDUP('Subsidy points'!I20*L20,0)</f>
        <v>117</v>
      </c>
      <c r="J20" s="60">
        <f>ROUNDUP('Subsidy points'!J20*L20,0)</f>
        <v>167</v>
      </c>
      <c r="K20" s="61">
        <v>200</v>
      </c>
      <c r="L20" s="2">
        <v>16.66</v>
      </c>
      <c r="O20" s="5">
        <v>12</v>
      </c>
      <c r="P20" s="4">
        <v>6186.666666666667</v>
      </c>
      <c r="Q20" s="4">
        <v>4640</v>
      </c>
      <c r="R20" s="4">
        <v>6186.666666666667</v>
      </c>
      <c r="S20" s="4">
        <v>7733.333333333333</v>
      </c>
      <c r="T20" s="4">
        <v>9280</v>
      </c>
    </row>
    <row r="21" spans="1:20" ht="12.5" thickBot="1" x14ac:dyDescent="0.35">
      <c r="A21" s="84"/>
      <c r="B21" s="11" t="s">
        <v>16</v>
      </c>
      <c r="C21" s="18">
        <f t="shared" si="1"/>
        <v>2851</v>
      </c>
      <c r="D21" s="74">
        <f>T30</f>
        <v>3900</v>
      </c>
      <c r="E21" s="21">
        <f>ROUNDUP('Subsidy points'!E21*L21,0)</f>
        <v>184</v>
      </c>
      <c r="F21" s="21">
        <f>ROUNDUP('Subsidy points'!F21*L21,0)</f>
        <v>134</v>
      </c>
      <c r="G21" s="21">
        <f>ROUNDUP('Subsidy points'!G21*L21,0)</f>
        <v>167</v>
      </c>
      <c r="H21" s="21">
        <f>ROUNDUP('Subsidy points'!H21*L21,0)</f>
        <v>117</v>
      </c>
      <c r="I21" s="21">
        <f>ROUNDUP('Subsidy points'!I21*L21,0)</f>
        <v>100</v>
      </c>
      <c r="J21" s="60">
        <f>ROUNDUP('Subsidy points'!J21*L21,0)</f>
        <v>150</v>
      </c>
      <c r="K21" s="61">
        <v>184</v>
      </c>
      <c r="L21" s="2">
        <v>16.66</v>
      </c>
      <c r="O21" s="5">
        <v>13</v>
      </c>
      <c r="P21" s="4">
        <v>6635</v>
      </c>
      <c r="Q21" s="4">
        <v>4976.25</v>
      </c>
      <c r="R21" s="4">
        <v>6635</v>
      </c>
      <c r="S21" s="4">
        <v>8293.75</v>
      </c>
      <c r="T21" s="4">
        <v>9952.5</v>
      </c>
    </row>
    <row r="22" spans="1:20" ht="12.5" thickBot="1" x14ac:dyDescent="0.35">
      <c r="A22" s="2" t="s">
        <v>50</v>
      </c>
      <c r="C22" s="12"/>
      <c r="D22" s="78"/>
      <c r="E22" s="1"/>
      <c r="F22" s="1"/>
      <c r="G22" s="1"/>
      <c r="H22" s="1"/>
      <c r="I22" s="1"/>
      <c r="J22" s="1"/>
      <c r="K22" s="1"/>
      <c r="L22" s="2" t="s">
        <v>32</v>
      </c>
      <c r="O22" s="5">
        <v>14</v>
      </c>
      <c r="P22" s="4">
        <v>7083.333333333333</v>
      </c>
      <c r="Q22" s="4">
        <v>5312.5</v>
      </c>
      <c r="R22" s="4">
        <v>7083.333333333333</v>
      </c>
      <c r="S22" s="4">
        <v>8854.1666666666661</v>
      </c>
      <c r="T22" s="4">
        <v>10625</v>
      </c>
    </row>
    <row r="23" spans="1:20" ht="12.5" thickBot="1" x14ac:dyDescent="0.35">
      <c r="A23" s="82">
        <v>5</v>
      </c>
      <c r="B23" s="10" t="s">
        <v>13</v>
      </c>
      <c r="C23" s="13">
        <f>0</f>
        <v>0</v>
      </c>
      <c r="D23" s="74">
        <f>Q31</f>
        <v>2287</v>
      </c>
      <c r="E23" s="21">
        <f>ROUNDUP('Subsidy points'!E23*L23,0)</f>
        <v>250</v>
      </c>
      <c r="F23" s="21">
        <f>ROUNDUP('Subsidy points'!F23*L23,0)</f>
        <v>200</v>
      </c>
      <c r="G23" s="21">
        <f>ROUNDUP('Subsidy points'!G23*L23,0)</f>
        <v>234</v>
      </c>
      <c r="H23" s="21">
        <f>ROUNDUP('Subsidy points'!H23*L23,0)</f>
        <v>184</v>
      </c>
      <c r="I23" s="21">
        <f>ROUNDUP('Subsidy points'!I23*L23,0)</f>
        <v>167</v>
      </c>
      <c r="J23" s="21">
        <f>ROUNDUP('Subsidy points'!J23*L23,0)</f>
        <v>217</v>
      </c>
      <c r="K23" s="21">
        <v>250</v>
      </c>
      <c r="L23" s="2">
        <v>16.66</v>
      </c>
    </row>
    <row r="24" spans="1:20" ht="12.5" thickBot="1" x14ac:dyDescent="0.35">
      <c r="A24" s="83"/>
      <c r="B24" s="2" t="s">
        <v>14</v>
      </c>
      <c r="C24" s="15">
        <f t="shared" si="1"/>
        <v>2288</v>
      </c>
      <c r="D24" s="74">
        <f>R31</f>
        <v>3049</v>
      </c>
      <c r="E24" s="21">
        <f>ROUNDUP('Subsidy points'!E24*L24,0)</f>
        <v>234</v>
      </c>
      <c r="F24" s="21">
        <f>ROUNDUP('Subsidy points'!F24*L24,0)</f>
        <v>184</v>
      </c>
      <c r="G24" s="21">
        <f>ROUNDUP('Subsidy points'!G24*L24,0)</f>
        <v>217</v>
      </c>
      <c r="H24" s="21">
        <f>ROUNDUP('Subsidy points'!H24*L24,0)</f>
        <v>167</v>
      </c>
      <c r="I24" s="21">
        <f>ROUNDUP('Subsidy points'!I24*L24,0)</f>
        <v>150</v>
      </c>
      <c r="J24" s="21">
        <f>ROUNDUP('Subsidy points'!J24*L24,0)</f>
        <v>200</v>
      </c>
      <c r="K24" s="21">
        <v>234</v>
      </c>
      <c r="L24" s="2">
        <v>16.66</v>
      </c>
    </row>
    <row r="25" spans="1:20" ht="12.5" thickBot="1" x14ac:dyDescent="0.35">
      <c r="A25" s="83"/>
      <c r="B25" s="2" t="s">
        <v>15</v>
      </c>
      <c r="C25" s="15">
        <f t="shared" si="1"/>
        <v>3050</v>
      </c>
      <c r="D25" s="74">
        <f>S31</f>
        <v>3811</v>
      </c>
      <c r="E25" s="21">
        <f>ROUNDUP('Subsidy points'!E25*L25,0)</f>
        <v>217</v>
      </c>
      <c r="F25" s="21">
        <f>ROUNDUP('Subsidy points'!F25*L25,0)</f>
        <v>167</v>
      </c>
      <c r="G25" s="21">
        <f>ROUNDUP('Subsidy points'!G25*L25,0)</f>
        <v>200</v>
      </c>
      <c r="H25" s="21">
        <f>ROUNDUP('Subsidy points'!H25*L25,0)</f>
        <v>150</v>
      </c>
      <c r="I25" s="21">
        <f>ROUNDUP('Subsidy points'!I25*L25,0)</f>
        <v>134</v>
      </c>
      <c r="J25" s="21">
        <f>ROUNDUP('Subsidy points'!J25*L25,0)</f>
        <v>184</v>
      </c>
      <c r="K25" s="21">
        <v>217</v>
      </c>
      <c r="L25" s="2">
        <v>16.66</v>
      </c>
      <c r="O25" s="2" t="s">
        <v>17</v>
      </c>
    </row>
    <row r="26" spans="1:20" ht="12.75" customHeight="1" thickBot="1" x14ac:dyDescent="0.35">
      <c r="A26" s="84"/>
      <c r="B26" s="11" t="s">
        <v>16</v>
      </c>
      <c r="C26" s="18">
        <f t="shared" si="1"/>
        <v>3812</v>
      </c>
      <c r="D26" s="74">
        <f>T31</f>
        <v>4573</v>
      </c>
      <c r="E26" s="21">
        <f>ROUNDUP('Subsidy points'!E26*L26,0)</f>
        <v>200</v>
      </c>
      <c r="F26" s="21">
        <f>ROUNDUP('Subsidy points'!F26*L26,0)</f>
        <v>150</v>
      </c>
      <c r="G26" s="21">
        <f>ROUNDUP('Subsidy points'!G26*L26,0)</f>
        <v>184</v>
      </c>
      <c r="H26" s="21">
        <f>ROUNDUP('Subsidy points'!H26*L26,0)</f>
        <v>134</v>
      </c>
      <c r="I26" s="21">
        <f>ROUNDUP('Subsidy points'!I26*L26,0)</f>
        <v>117</v>
      </c>
      <c r="J26" s="21">
        <f>ROUNDUP('Subsidy points'!J26*L26,0)</f>
        <v>167</v>
      </c>
      <c r="K26" s="21">
        <v>200</v>
      </c>
      <c r="L26" s="2">
        <v>16.66</v>
      </c>
      <c r="O26" s="6" t="s">
        <v>8</v>
      </c>
      <c r="Q26" s="80">
        <v>0.75</v>
      </c>
      <c r="R26" s="80">
        <v>1</v>
      </c>
      <c r="S26" s="80">
        <v>1.25</v>
      </c>
      <c r="T26" s="80">
        <v>1.5</v>
      </c>
    </row>
    <row r="27" spans="1:20" ht="12.5" thickBot="1" x14ac:dyDescent="0.35">
      <c r="C27" s="12"/>
      <c r="D27" s="78"/>
      <c r="E27" s="1"/>
      <c r="F27" s="1"/>
      <c r="G27" s="1"/>
      <c r="H27" s="1"/>
      <c r="I27" s="1"/>
      <c r="J27" s="1"/>
      <c r="K27" s="1"/>
      <c r="L27" s="2" t="s">
        <v>32</v>
      </c>
      <c r="O27" s="5">
        <v>1</v>
      </c>
      <c r="Q27" s="4">
        <f>ISO.CEILING(Q9)</f>
        <v>942</v>
      </c>
      <c r="R27" s="4">
        <f t="shared" ref="R27:T27" si="2">ISO.CEILING(R9)</f>
        <v>1255</v>
      </c>
      <c r="S27" s="4">
        <f t="shared" si="2"/>
        <v>1569</v>
      </c>
      <c r="T27" s="4">
        <f t="shared" si="2"/>
        <v>1883</v>
      </c>
    </row>
    <row r="28" spans="1:20" ht="12.5" thickBot="1" x14ac:dyDescent="0.35">
      <c r="A28" s="82">
        <v>6</v>
      </c>
      <c r="B28" s="10" t="s">
        <v>13</v>
      </c>
      <c r="C28" s="13">
        <v>0</v>
      </c>
      <c r="D28" s="74">
        <f>Q28</f>
        <v>1278</v>
      </c>
      <c r="E28" s="61">
        <v>250</v>
      </c>
      <c r="F28" s="61">
        <v>200</v>
      </c>
      <c r="G28" s="61">
        <v>234</v>
      </c>
      <c r="H28" s="61">
        <v>184</v>
      </c>
      <c r="I28" s="61">
        <v>167</v>
      </c>
      <c r="J28" s="61">
        <v>217</v>
      </c>
      <c r="K28" s="61">
        <v>250</v>
      </c>
      <c r="L28" s="2">
        <v>16.66</v>
      </c>
      <c r="O28" s="5">
        <v>2</v>
      </c>
      <c r="Q28" s="4">
        <f t="shared" ref="Q28:T40" si="3">ISO.CEILING(Q10)</f>
        <v>1278</v>
      </c>
      <c r="R28" s="4">
        <f t="shared" si="3"/>
        <v>1704</v>
      </c>
      <c r="S28" s="4">
        <f t="shared" si="3"/>
        <v>2130</v>
      </c>
      <c r="T28" s="4">
        <f t="shared" si="3"/>
        <v>2555</v>
      </c>
    </row>
    <row r="29" spans="1:20" ht="12.5" thickBot="1" x14ac:dyDescent="0.35">
      <c r="A29" s="83"/>
      <c r="B29" s="2" t="s">
        <v>14</v>
      </c>
      <c r="C29" s="15">
        <f t="shared" si="1"/>
        <v>1279</v>
      </c>
      <c r="D29" s="74">
        <f>R28</f>
        <v>1704</v>
      </c>
      <c r="E29" s="61">
        <v>234</v>
      </c>
      <c r="F29" s="61">
        <v>184</v>
      </c>
      <c r="G29" s="61">
        <v>217</v>
      </c>
      <c r="H29" s="61">
        <v>167</v>
      </c>
      <c r="I29" s="61">
        <v>150</v>
      </c>
      <c r="J29" s="61">
        <v>200</v>
      </c>
      <c r="K29" s="61">
        <v>234</v>
      </c>
      <c r="L29" s="2">
        <v>16.66</v>
      </c>
      <c r="O29" s="5">
        <v>3</v>
      </c>
      <c r="Q29" s="4">
        <f t="shared" si="3"/>
        <v>1614</v>
      </c>
      <c r="R29" s="4">
        <f t="shared" si="3"/>
        <v>2152</v>
      </c>
      <c r="S29" s="4">
        <f t="shared" si="3"/>
        <v>2690</v>
      </c>
      <c r="T29" s="4">
        <f t="shared" si="3"/>
        <v>2828</v>
      </c>
    </row>
    <row r="30" spans="1:20" ht="12.5" thickBot="1" x14ac:dyDescent="0.35">
      <c r="A30" s="83"/>
      <c r="B30" s="2" t="s">
        <v>15</v>
      </c>
      <c r="C30" s="15">
        <f t="shared" si="1"/>
        <v>1705</v>
      </c>
      <c r="D30" s="74">
        <f>S28</f>
        <v>2130</v>
      </c>
      <c r="E30" s="61">
        <v>217</v>
      </c>
      <c r="F30" s="61">
        <v>167</v>
      </c>
      <c r="G30" s="61">
        <v>200</v>
      </c>
      <c r="H30" s="61">
        <v>150</v>
      </c>
      <c r="I30" s="61">
        <v>134</v>
      </c>
      <c r="J30" s="61">
        <v>184</v>
      </c>
      <c r="K30" s="61">
        <v>217</v>
      </c>
      <c r="L30" s="2">
        <v>16.66</v>
      </c>
      <c r="O30" s="5">
        <v>4</v>
      </c>
      <c r="Q30" s="4">
        <f t="shared" si="3"/>
        <v>1950</v>
      </c>
      <c r="R30" s="4">
        <f t="shared" si="3"/>
        <v>2600</v>
      </c>
      <c r="S30" s="4">
        <f t="shared" si="3"/>
        <v>2850</v>
      </c>
      <c r="T30" s="4">
        <f t="shared" si="3"/>
        <v>3900</v>
      </c>
    </row>
    <row r="31" spans="1:20" ht="12.5" thickBot="1" x14ac:dyDescent="0.35">
      <c r="A31" s="84"/>
      <c r="B31" s="11" t="s">
        <v>16</v>
      </c>
      <c r="C31" s="18">
        <f t="shared" si="1"/>
        <v>2131</v>
      </c>
      <c r="D31" s="74">
        <f>T28</f>
        <v>2555</v>
      </c>
      <c r="E31" s="61">
        <v>200</v>
      </c>
      <c r="F31" s="61">
        <v>150</v>
      </c>
      <c r="G31" s="61">
        <v>184</v>
      </c>
      <c r="H31" s="61">
        <v>134</v>
      </c>
      <c r="I31" s="61">
        <v>117</v>
      </c>
      <c r="J31" s="61">
        <v>167</v>
      </c>
      <c r="K31" s="61">
        <v>200</v>
      </c>
      <c r="L31" s="2">
        <v>16.66</v>
      </c>
      <c r="O31" s="5">
        <v>5</v>
      </c>
      <c r="Q31" s="4">
        <f t="shared" si="3"/>
        <v>2287</v>
      </c>
      <c r="R31" s="4">
        <f t="shared" si="3"/>
        <v>3049</v>
      </c>
      <c r="S31" s="4">
        <f t="shared" si="3"/>
        <v>3811</v>
      </c>
      <c r="T31" s="4">
        <f t="shared" si="3"/>
        <v>4573</v>
      </c>
    </row>
    <row r="32" spans="1:20" ht="12.5" thickBot="1" x14ac:dyDescent="0.35">
      <c r="A32" s="2" t="s">
        <v>39</v>
      </c>
      <c r="C32" s="12"/>
      <c r="D32" s="78"/>
      <c r="E32" s="1"/>
      <c r="F32" s="1"/>
      <c r="G32" s="1"/>
      <c r="H32" s="1"/>
      <c r="I32" s="1"/>
      <c r="J32" s="1"/>
      <c r="K32" s="1"/>
      <c r="O32" s="5">
        <v>6</v>
      </c>
      <c r="Q32" s="4">
        <f t="shared" si="3"/>
        <v>2623</v>
      </c>
      <c r="R32" s="4">
        <f t="shared" si="3"/>
        <v>3497</v>
      </c>
      <c r="S32" s="4">
        <f t="shared" si="3"/>
        <v>4371</v>
      </c>
      <c r="T32" s="4">
        <f t="shared" si="3"/>
        <v>5245</v>
      </c>
    </row>
    <row r="33" spans="1:20" ht="12.5" thickBot="1" x14ac:dyDescent="0.35">
      <c r="A33" s="82">
        <v>7</v>
      </c>
      <c r="B33" s="10" t="s">
        <v>13</v>
      </c>
      <c r="C33" s="13">
        <v>0</v>
      </c>
      <c r="D33" s="74">
        <f>Q33</f>
        <v>2935</v>
      </c>
      <c r="E33" s="21">
        <v>250</v>
      </c>
      <c r="F33" s="21">
        <v>200</v>
      </c>
      <c r="G33" s="21">
        <v>234</v>
      </c>
      <c r="H33" s="21">
        <v>184</v>
      </c>
      <c r="I33" s="21">
        <v>167</v>
      </c>
      <c r="J33" s="60">
        <v>217</v>
      </c>
      <c r="K33" s="65">
        <v>250</v>
      </c>
      <c r="O33" s="5">
        <v>7</v>
      </c>
      <c r="Q33" s="4">
        <f t="shared" si="3"/>
        <v>2935</v>
      </c>
      <c r="R33" s="4">
        <f t="shared" si="3"/>
        <v>3945</v>
      </c>
      <c r="S33" s="4">
        <f t="shared" si="3"/>
        <v>4932</v>
      </c>
      <c r="T33" s="4">
        <f t="shared" si="3"/>
        <v>5918</v>
      </c>
    </row>
    <row r="34" spans="1:20" ht="12.5" thickBot="1" x14ac:dyDescent="0.35">
      <c r="A34" s="83"/>
      <c r="B34" s="2" t="s">
        <v>14</v>
      </c>
      <c r="C34" s="15">
        <f t="shared" si="1"/>
        <v>2936</v>
      </c>
      <c r="D34" s="74">
        <f>R33</f>
        <v>3945</v>
      </c>
      <c r="E34" s="21">
        <v>234</v>
      </c>
      <c r="F34" s="21">
        <v>184</v>
      </c>
      <c r="G34" s="21">
        <v>217</v>
      </c>
      <c r="H34" s="21">
        <v>167</v>
      </c>
      <c r="I34" s="21">
        <v>150</v>
      </c>
      <c r="J34" s="60">
        <v>200</v>
      </c>
      <c r="K34" s="66">
        <v>234</v>
      </c>
      <c r="O34" s="5">
        <v>8</v>
      </c>
      <c r="Q34" s="4">
        <f t="shared" si="3"/>
        <v>2895</v>
      </c>
      <c r="R34" s="4">
        <f t="shared" si="3"/>
        <v>4394</v>
      </c>
      <c r="S34" s="4">
        <f t="shared" si="3"/>
        <v>5492</v>
      </c>
      <c r="T34" s="4">
        <f t="shared" si="3"/>
        <v>6590</v>
      </c>
    </row>
    <row r="35" spans="1:20" ht="12.5" thickBot="1" x14ac:dyDescent="0.35">
      <c r="A35" s="83"/>
      <c r="B35" s="2" t="s">
        <v>15</v>
      </c>
      <c r="C35" s="15">
        <f t="shared" si="1"/>
        <v>3946</v>
      </c>
      <c r="D35" s="74">
        <f>S33</f>
        <v>4932</v>
      </c>
      <c r="E35" s="21">
        <v>217</v>
      </c>
      <c r="F35" s="21">
        <v>167</v>
      </c>
      <c r="G35" s="21">
        <v>200</v>
      </c>
      <c r="H35" s="21">
        <v>150</v>
      </c>
      <c r="I35" s="21">
        <v>134</v>
      </c>
      <c r="J35" s="60">
        <v>184</v>
      </c>
      <c r="K35" s="66">
        <v>217</v>
      </c>
      <c r="O35" s="5">
        <v>9</v>
      </c>
      <c r="Q35" s="4">
        <f t="shared" si="3"/>
        <v>3632</v>
      </c>
      <c r="R35" s="4">
        <f t="shared" si="3"/>
        <v>4842</v>
      </c>
      <c r="S35" s="4">
        <f t="shared" si="3"/>
        <v>6053</v>
      </c>
      <c r="T35" s="4">
        <f t="shared" si="3"/>
        <v>7263</v>
      </c>
    </row>
    <row r="36" spans="1:20" ht="12.5" thickBot="1" x14ac:dyDescent="0.35">
      <c r="A36" s="84"/>
      <c r="B36" s="11" t="s">
        <v>16</v>
      </c>
      <c r="C36" s="18">
        <f t="shared" si="1"/>
        <v>4933</v>
      </c>
      <c r="D36" s="74">
        <f>T33</f>
        <v>5918</v>
      </c>
      <c r="E36" s="67">
        <v>200</v>
      </c>
      <c r="F36" s="67">
        <v>150</v>
      </c>
      <c r="G36" s="67">
        <v>184</v>
      </c>
      <c r="H36" s="67">
        <v>134</v>
      </c>
      <c r="I36" s="67">
        <v>117</v>
      </c>
      <c r="J36" s="68">
        <v>167</v>
      </c>
      <c r="K36" s="69">
        <v>200</v>
      </c>
      <c r="O36" s="5">
        <v>10</v>
      </c>
      <c r="Q36" s="4">
        <f t="shared" si="3"/>
        <v>3968</v>
      </c>
      <c r="R36" s="4">
        <f t="shared" si="3"/>
        <v>5290</v>
      </c>
      <c r="S36" s="4">
        <f t="shared" si="3"/>
        <v>6613</v>
      </c>
      <c r="T36" s="4">
        <f t="shared" si="3"/>
        <v>7935</v>
      </c>
    </row>
    <row r="37" spans="1:20" ht="12.5" thickBot="1" x14ac:dyDescent="0.35">
      <c r="C37" s="12"/>
      <c r="D37" s="78"/>
      <c r="E37" s="1"/>
      <c r="F37" s="1"/>
      <c r="G37" s="1"/>
      <c r="H37" s="1"/>
      <c r="I37" s="1"/>
      <c r="J37" s="1"/>
      <c r="K37" s="1"/>
      <c r="O37" s="5">
        <v>11</v>
      </c>
      <c r="Q37" s="4">
        <f t="shared" si="3"/>
        <v>4304</v>
      </c>
      <c r="R37" s="4">
        <f t="shared" si="3"/>
        <v>5739</v>
      </c>
      <c r="S37" s="4">
        <f t="shared" si="3"/>
        <v>7173</v>
      </c>
      <c r="T37" s="4">
        <f t="shared" si="3"/>
        <v>8608</v>
      </c>
    </row>
    <row r="38" spans="1:20" ht="12.5" thickBot="1" x14ac:dyDescent="0.35">
      <c r="A38" s="82">
        <v>8</v>
      </c>
      <c r="B38" s="10" t="s">
        <v>13</v>
      </c>
      <c r="C38" s="13">
        <v>0</v>
      </c>
      <c r="D38" s="74">
        <f>Q34</f>
        <v>2895</v>
      </c>
      <c r="E38" s="70">
        <v>250</v>
      </c>
      <c r="F38" s="70">
        <v>200</v>
      </c>
      <c r="G38" s="70">
        <v>234</v>
      </c>
      <c r="H38" s="70">
        <v>184</v>
      </c>
      <c r="I38" s="70">
        <v>167</v>
      </c>
      <c r="J38" s="70">
        <v>217</v>
      </c>
      <c r="K38" s="65">
        <v>250</v>
      </c>
      <c r="O38" s="5">
        <v>12</v>
      </c>
      <c r="Q38" s="4">
        <f t="shared" si="3"/>
        <v>4640</v>
      </c>
      <c r="R38" s="4">
        <f t="shared" si="3"/>
        <v>6187</v>
      </c>
      <c r="S38" s="4">
        <f t="shared" si="3"/>
        <v>7734</v>
      </c>
      <c r="T38" s="4">
        <f t="shared" si="3"/>
        <v>9280</v>
      </c>
    </row>
    <row r="39" spans="1:20" ht="12.5" thickBot="1" x14ac:dyDescent="0.35">
      <c r="A39" s="83"/>
      <c r="B39" s="2" t="s">
        <v>14</v>
      </c>
      <c r="C39" s="15">
        <f t="shared" si="1"/>
        <v>2896</v>
      </c>
      <c r="D39" s="74">
        <f>R34</f>
        <v>4394</v>
      </c>
      <c r="E39" s="61">
        <v>234</v>
      </c>
      <c r="F39" s="61">
        <v>184</v>
      </c>
      <c r="G39" s="61">
        <v>217</v>
      </c>
      <c r="H39" s="61">
        <v>167</v>
      </c>
      <c r="I39" s="61">
        <v>150</v>
      </c>
      <c r="J39" s="61">
        <v>200</v>
      </c>
      <c r="K39" s="66">
        <v>234</v>
      </c>
      <c r="O39" s="5">
        <v>13</v>
      </c>
      <c r="Q39" s="4">
        <f t="shared" si="3"/>
        <v>4977</v>
      </c>
      <c r="R39" s="4">
        <f t="shared" si="3"/>
        <v>6635</v>
      </c>
      <c r="S39" s="4">
        <f t="shared" si="3"/>
        <v>8294</v>
      </c>
      <c r="T39" s="4">
        <f t="shared" si="3"/>
        <v>9953</v>
      </c>
    </row>
    <row r="40" spans="1:20" ht="12.5" thickBot="1" x14ac:dyDescent="0.35">
      <c r="A40" s="83"/>
      <c r="B40" s="2" t="s">
        <v>15</v>
      </c>
      <c r="C40" s="15">
        <f t="shared" si="1"/>
        <v>4395</v>
      </c>
      <c r="D40" s="74">
        <f>S34</f>
        <v>5492</v>
      </c>
      <c r="E40" s="61">
        <v>217</v>
      </c>
      <c r="F40" s="61">
        <v>167</v>
      </c>
      <c r="G40" s="61">
        <v>200</v>
      </c>
      <c r="H40" s="61">
        <v>150</v>
      </c>
      <c r="I40" s="61">
        <v>134</v>
      </c>
      <c r="J40" s="61">
        <v>184</v>
      </c>
      <c r="K40" s="66">
        <v>217</v>
      </c>
      <c r="O40" s="5">
        <v>14</v>
      </c>
      <c r="Q40" s="4">
        <f t="shared" si="3"/>
        <v>5313</v>
      </c>
      <c r="R40" s="4">
        <f t="shared" si="3"/>
        <v>7084</v>
      </c>
      <c r="S40" s="4">
        <f t="shared" si="3"/>
        <v>8855</v>
      </c>
      <c r="T40" s="4">
        <f t="shared" si="3"/>
        <v>10625</v>
      </c>
    </row>
    <row r="41" spans="1:20" ht="12.5" thickBot="1" x14ac:dyDescent="0.35">
      <c r="A41" s="84"/>
      <c r="B41" s="11" t="s">
        <v>16</v>
      </c>
      <c r="C41" s="18">
        <f t="shared" si="1"/>
        <v>5493</v>
      </c>
      <c r="D41" s="74">
        <f>T34</f>
        <v>6590</v>
      </c>
      <c r="E41" s="71">
        <v>200</v>
      </c>
      <c r="F41" s="71">
        <v>150</v>
      </c>
      <c r="G41" s="71">
        <v>184</v>
      </c>
      <c r="H41" s="71">
        <v>134</v>
      </c>
      <c r="I41" s="71">
        <v>117</v>
      </c>
      <c r="J41" s="71">
        <v>167</v>
      </c>
      <c r="K41" s="69">
        <v>200</v>
      </c>
    </row>
    <row r="43" spans="1:20" x14ac:dyDescent="0.3">
      <c r="A43" s="64" t="s">
        <v>52</v>
      </c>
      <c r="C43" s="81" t="s">
        <v>9</v>
      </c>
      <c r="D43" s="81"/>
      <c r="E43" s="81"/>
      <c r="F43" s="81"/>
      <c r="G43" s="81"/>
      <c r="H43" s="81"/>
      <c r="I43" s="81"/>
      <c r="J43" s="81"/>
      <c r="K43" s="1" t="s">
        <v>10</v>
      </c>
    </row>
    <row r="44" spans="1:20" ht="24.5" thickBot="1" x14ac:dyDescent="0.35">
      <c r="A44" s="8" t="s">
        <v>0</v>
      </c>
      <c r="B44" s="8"/>
      <c r="C44" s="85" t="s">
        <v>1</v>
      </c>
      <c r="D44" s="85"/>
      <c r="E44" s="9" t="s">
        <v>2</v>
      </c>
      <c r="F44" s="9" t="s">
        <v>3</v>
      </c>
      <c r="G44" s="9" t="s">
        <v>6</v>
      </c>
      <c r="H44" s="9" t="s">
        <v>5</v>
      </c>
      <c r="I44" s="9" t="s">
        <v>4</v>
      </c>
      <c r="J44" s="9" t="s">
        <v>7</v>
      </c>
      <c r="K44" s="25" t="s">
        <v>11</v>
      </c>
    </row>
    <row r="45" spans="1:20" ht="12.5" thickBot="1" x14ac:dyDescent="0.35">
      <c r="A45" s="82">
        <v>1</v>
      </c>
      <c r="B45" s="10" t="s">
        <v>13</v>
      </c>
      <c r="C45" s="13">
        <v>0</v>
      </c>
      <c r="D45" s="74">
        <f>Q27</f>
        <v>942</v>
      </c>
      <c r="E45" s="21">
        <f>ROUNDUP(E6*0.3,0)</f>
        <v>41</v>
      </c>
      <c r="F45" s="21">
        <f t="shared" ref="F45:J45" si="4">ROUNDUP(F6*0.3,0)</f>
        <v>26</v>
      </c>
      <c r="G45" s="21">
        <f t="shared" si="4"/>
        <v>36</v>
      </c>
      <c r="H45" s="21">
        <f t="shared" si="4"/>
        <v>21</v>
      </c>
      <c r="I45" s="21">
        <f t="shared" si="4"/>
        <v>15</v>
      </c>
      <c r="J45" s="21">
        <f t="shared" si="4"/>
        <v>30</v>
      </c>
      <c r="K45" s="21">
        <f t="shared" ref="K45" si="5">ROUNDUP(K6*0.3,0)</f>
        <v>41</v>
      </c>
      <c r="Q45" s="2">
        <v>50</v>
      </c>
    </row>
    <row r="46" spans="1:20" ht="12.5" thickBot="1" x14ac:dyDescent="0.35">
      <c r="A46" s="83"/>
      <c r="B46" s="2" t="s">
        <v>14</v>
      </c>
      <c r="C46" s="15">
        <f>D45+1</f>
        <v>943</v>
      </c>
      <c r="D46" s="74">
        <f>R27</f>
        <v>1255</v>
      </c>
      <c r="E46" s="21">
        <f>ROUNDUP(E5*0.3,0)</f>
        <v>45</v>
      </c>
      <c r="F46" s="21">
        <f t="shared" ref="F46:J46" si="6">ROUNDUP(F5*0.3,0)</f>
        <v>30</v>
      </c>
      <c r="G46" s="21">
        <f t="shared" si="6"/>
        <v>41</v>
      </c>
      <c r="H46" s="21">
        <f t="shared" si="6"/>
        <v>26</v>
      </c>
      <c r="I46" s="21">
        <f t="shared" si="6"/>
        <v>21</v>
      </c>
      <c r="J46" s="21">
        <f t="shared" si="6"/>
        <v>36</v>
      </c>
      <c r="K46" s="21">
        <f t="shared" ref="K46" si="7">ROUNDUP(K5*0.3,0)</f>
        <v>45</v>
      </c>
    </row>
    <row r="47" spans="1:20" ht="12.5" thickBot="1" x14ac:dyDescent="0.35">
      <c r="A47" s="83"/>
      <c r="B47" s="2" t="s">
        <v>15</v>
      </c>
      <c r="C47" s="15">
        <f>D46+1</f>
        <v>1256</v>
      </c>
      <c r="D47" s="74">
        <f>S27</f>
        <v>1569</v>
      </c>
      <c r="E47" s="21">
        <f>ROUNDUP(E4*0.3,0)</f>
        <v>51</v>
      </c>
      <c r="F47" s="21">
        <f t="shared" ref="F47:J47" si="8">ROUNDUP(F4*0.3,0)</f>
        <v>36</v>
      </c>
      <c r="G47" s="21">
        <f t="shared" si="8"/>
        <v>45</v>
      </c>
      <c r="H47" s="21">
        <f t="shared" si="8"/>
        <v>30</v>
      </c>
      <c r="I47" s="21">
        <f t="shared" si="8"/>
        <v>26</v>
      </c>
      <c r="J47" s="21">
        <f t="shared" si="8"/>
        <v>41</v>
      </c>
      <c r="K47" s="21">
        <f t="shared" ref="K47" si="9">ROUNDUP(K4*0.3,0)</f>
        <v>51</v>
      </c>
    </row>
    <row r="48" spans="1:20" ht="12.5" thickBot="1" x14ac:dyDescent="0.35">
      <c r="A48" s="84"/>
      <c r="B48" s="11" t="s">
        <v>16</v>
      </c>
      <c r="C48" s="18">
        <f>D47+1</f>
        <v>1570</v>
      </c>
      <c r="D48" s="74">
        <f>T27</f>
        <v>1883</v>
      </c>
      <c r="E48" s="67">
        <f>ROUNDUP(E3*0.3,0)</f>
        <v>56</v>
      </c>
      <c r="F48" s="67">
        <f t="shared" ref="F48:J48" si="10">ROUNDUP(F3*0.3,0)</f>
        <v>41</v>
      </c>
      <c r="G48" s="67">
        <f t="shared" si="10"/>
        <v>51</v>
      </c>
      <c r="H48" s="67">
        <f t="shared" si="10"/>
        <v>36</v>
      </c>
      <c r="I48" s="67">
        <f t="shared" si="10"/>
        <v>30</v>
      </c>
      <c r="J48" s="67">
        <f t="shared" si="10"/>
        <v>45</v>
      </c>
      <c r="K48" s="67">
        <f t="shared" ref="K48" si="11">ROUNDUP(K3*0.3,0)</f>
        <v>56</v>
      </c>
      <c r="Q48" s="2">
        <f>250*0.6</f>
        <v>150</v>
      </c>
    </row>
    <row r="49" spans="1:11" ht="12.5" thickBot="1" x14ac:dyDescent="0.35">
      <c r="A49" s="1"/>
      <c r="C49" s="12"/>
      <c r="D49" s="78"/>
      <c r="E49" s="1"/>
      <c r="F49" s="1"/>
      <c r="G49" s="1"/>
      <c r="H49" s="1"/>
      <c r="I49" s="1"/>
      <c r="J49" s="1"/>
      <c r="K49" s="1"/>
    </row>
    <row r="50" spans="1:11" ht="12.5" thickBot="1" x14ac:dyDescent="0.35">
      <c r="A50" s="82">
        <v>2</v>
      </c>
      <c r="B50" s="10" t="s">
        <v>13</v>
      </c>
      <c r="C50" s="13">
        <v>0</v>
      </c>
      <c r="D50" s="74">
        <f>Q28</f>
        <v>1278</v>
      </c>
      <c r="E50" s="21">
        <f>ROUNDUP(E11*0.3,0)</f>
        <v>45</v>
      </c>
      <c r="F50" s="21">
        <f t="shared" ref="F50:K50" si="12">ROUNDUP(F11*0.3,0)</f>
        <v>30</v>
      </c>
      <c r="G50" s="21">
        <f t="shared" si="12"/>
        <v>41</v>
      </c>
      <c r="H50" s="21">
        <f t="shared" si="12"/>
        <v>21</v>
      </c>
      <c r="I50" s="21">
        <f t="shared" si="12"/>
        <v>21</v>
      </c>
      <c r="J50" s="21">
        <f t="shared" si="12"/>
        <v>36</v>
      </c>
      <c r="K50" s="21">
        <f t="shared" si="12"/>
        <v>45</v>
      </c>
    </row>
    <row r="51" spans="1:11" ht="12.5" thickBot="1" x14ac:dyDescent="0.35">
      <c r="A51" s="83"/>
      <c r="B51" s="2" t="s">
        <v>14</v>
      </c>
      <c r="C51" s="15">
        <f>D50+1</f>
        <v>1279</v>
      </c>
      <c r="D51" s="74">
        <f>R28</f>
        <v>1704</v>
      </c>
      <c r="E51" s="21">
        <f>ROUNDUP(E10*0.3,0)</f>
        <v>51</v>
      </c>
      <c r="F51" s="21">
        <f t="shared" ref="F51:K51" si="13">ROUNDUP(F10*0.3,0)</f>
        <v>36</v>
      </c>
      <c r="G51" s="21">
        <f t="shared" si="13"/>
        <v>45</v>
      </c>
      <c r="H51" s="21">
        <f t="shared" si="13"/>
        <v>26</v>
      </c>
      <c r="I51" s="21">
        <f t="shared" si="13"/>
        <v>26</v>
      </c>
      <c r="J51" s="21">
        <f t="shared" si="13"/>
        <v>41</v>
      </c>
      <c r="K51" s="21">
        <f t="shared" si="13"/>
        <v>51</v>
      </c>
    </row>
    <row r="52" spans="1:11" ht="12.5" thickBot="1" x14ac:dyDescent="0.35">
      <c r="A52" s="83"/>
      <c r="B52" s="2" t="s">
        <v>15</v>
      </c>
      <c r="C52" s="15">
        <f t="shared" ref="C52:C53" si="14">D51+1</f>
        <v>1705</v>
      </c>
      <c r="D52" s="74">
        <f>S28</f>
        <v>2130</v>
      </c>
      <c r="E52" s="21">
        <f>ROUNDUP(E9*0.3,0)</f>
        <v>56</v>
      </c>
      <c r="F52" s="21">
        <f t="shared" ref="F52:K52" si="15">ROUNDUP(F9*0.3,0)</f>
        <v>41</v>
      </c>
      <c r="G52" s="21">
        <f t="shared" si="15"/>
        <v>51</v>
      </c>
      <c r="H52" s="21">
        <f t="shared" si="15"/>
        <v>30</v>
      </c>
      <c r="I52" s="21">
        <f t="shared" si="15"/>
        <v>30</v>
      </c>
      <c r="J52" s="21">
        <f t="shared" si="15"/>
        <v>45</v>
      </c>
      <c r="K52" s="21">
        <f t="shared" si="15"/>
        <v>56</v>
      </c>
    </row>
    <row r="53" spans="1:11" ht="12.5" thickBot="1" x14ac:dyDescent="0.35">
      <c r="A53" s="84"/>
      <c r="B53" s="11" t="s">
        <v>16</v>
      </c>
      <c r="C53" s="18">
        <f t="shared" si="14"/>
        <v>2131</v>
      </c>
      <c r="D53" s="74">
        <f>T28</f>
        <v>2555</v>
      </c>
      <c r="E53" s="67">
        <f>ROUNDUP(E8*0.3,0)</f>
        <v>60</v>
      </c>
      <c r="F53" s="67">
        <f t="shared" ref="F53:K53" si="16">ROUNDUP(F8*0.3,0)</f>
        <v>45</v>
      </c>
      <c r="G53" s="67">
        <f t="shared" si="16"/>
        <v>56</v>
      </c>
      <c r="H53" s="67">
        <f t="shared" si="16"/>
        <v>36</v>
      </c>
      <c r="I53" s="67">
        <f t="shared" si="16"/>
        <v>36</v>
      </c>
      <c r="J53" s="67">
        <f t="shared" si="16"/>
        <v>51</v>
      </c>
      <c r="K53" s="67">
        <f t="shared" si="16"/>
        <v>60</v>
      </c>
    </row>
    <row r="54" spans="1:11" ht="12.5" thickBot="1" x14ac:dyDescent="0.35">
      <c r="C54" s="12"/>
      <c r="D54" s="78"/>
      <c r="E54" s="1"/>
      <c r="F54" s="1"/>
      <c r="G54" s="1"/>
      <c r="H54" s="1"/>
      <c r="I54" s="1"/>
      <c r="J54" s="1"/>
      <c r="K54" s="1"/>
    </row>
    <row r="55" spans="1:11" ht="12.5" thickBot="1" x14ac:dyDescent="0.35">
      <c r="A55" s="82">
        <v>3</v>
      </c>
      <c r="B55" s="10" t="s">
        <v>13</v>
      </c>
      <c r="C55" s="13">
        <v>0</v>
      </c>
      <c r="D55" s="79">
        <f>Q29</f>
        <v>1614</v>
      </c>
      <c r="E55" s="21">
        <f>ROUNDUP(E16*0.3,0)</f>
        <v>51</v>
      </c>
      <c r="F55" s="21">
        <f t="shared" ref="F55:K55" si="17">ROUNDUP(F16*0.3,0)</f>
        <v>36</v>
      </c>
      <c r="G55" s="21">
        <f t="shared" si="17"/>
        <v>45</v>
      </c>
      <c r="H55" s="21">
        <f t="shared" si="17"/>
        <v>30</v>
      </c>
      <c r="I55" s="21">
        <f t="shared" si="17"/>
        <v>26</v>
      </c>
      <c r="J55" s="21">
        <f t="shared" si="17"/>
        <v>41</v>
      </c>
      <c r="K55" s="21">
        <f t="shared" si="17"/>
        <v>51</v>
      </c>
    </row>
    <row r="56" spans="1:11" ht="12.5" thickBot="1" x14ac:dyDescent="0.35">
      <c r="A56" s="83"/>
      <c r="B56" s="2" t="s">
        <v>14</v>
      </c>
      <c r="C56" s="15">
        <f>D55+1</f>
        <v>1615</v>
      </c>
      <c r="D56" s="76">
        <f>R29</f>
        <v>2152</v>
      </c>
      <c r="E56" s="21">
        <f>ROUNDUP(E15*0.3,0)</f>
        <v>56</v>
      </c>
      <c r="F56" s="21">
        <f t="shared" ref="F56:K56" si="18">ROUNDUP(F15*0.3,0)</f>
        <v>41</v>
      </c>
      <c r="G56" s="21">
        <f t="shared" si="18"/>
        <v>51</v>
      </c>
      <c r="H56" s="21">
        <f t="shared" si="18"/>
        <v>36</v>
      </c>
      <c r="I56" s="21">
        <f t="shared" si="18"/>
        <v>30</v>
      </c>
      <c r="J56" s="21">
        <f t="shared" si="18"/>
        <v>45</v>
      </c>
      <c r="K56" s="21">
        <f t="shared" si="18"/>
        <v>56</v>
      </c>
    </row>
    <row r="57" spans="1:11" ht="12.5" thickBot="1" x14ac:dyDescent="0.35">
      <c r="A57" s="83"/>
      <c r="B57" s="2" t="s">
        <v>15</v>
      </c>
      <c r="C57" s="15">
        <f t="shared" ref="C57:C58" si="19">D56+1</f>
        <v>2153</v>
      </c>
      <c r="D57" s="76">
        <f>S29</f>
        <v>2690</v>
      </c>
      <c r="E57" s="21">
        <f>ROUNDUP(E14*0.3,0)</f>
        <v>60</v>
      </c>
      <c r="F57" s="21">
        <f t="shared" ref="F57:K57" si="20">ROUNDUP(F14*0.3,0)</f>
        <v>45</v>
      </c>
      <c r="G57" s="21">
        <f t="shared" si="20"/>
        <v>56</v>
      </c>
      <c r="H57" s="21">
        <f t="shared" si="20"/>
        <v>41</v>
      </c>
      <c r="I57" s="21">
        <f t="shared" si="20"/>
        <v>36</v>
      </c>
      <c r="J57" s="21">
        <f t="shared" si="20"/>
        <v>51</v>
      </c>
      <c r="K57" s="21">
        <f t="shared" si="20"/>
        <v>60</v>
      </c>
    </row>
    <row r="58" spans="1:11" ht="12.5" thickBot="1" x14ac:dyDescent="0.35">
      <c r="A58" s="84"/>
      <c r="B58" s="11" t="s">
        <v>16</v>
      </c>
      <c r="C58" s="18">
        <f t="shared" si="19"/>
        <v>2691</v>
      </c>
      <c r="D58" s="77">
        <f>T29</f>
        <v>2828</v>
      </c>
      <c r="E58" s="67">
        <f>ROUNDUP(E13*0.3,0)</f>
        <v>66</v>
      </c>
      <c r="F58" s="67">
        <f t="shared" ref="F58:K58" si="21">ROUNDUP(F13*0.3,0)</f>
        <v>51</v>
      </c>
      <c r="G58" s="67">
        <f t="shared" si="21"/>
        <v>60</v>
      </c>
      <c r="H58" s="67">
        <f t="shared" si="21"/>
        <v>45</v>
      </c>
      <c r="I58" s="67">
        <f t="shared" si="21"/>
        <v>41</v>
      </c>
      <c r="J58" s="67">
        <f t="shared" si="21"/>
        <v>56</v>
      </c>
      <c r="K58" s="67">
        <f t="shared" si="21"/>
        <v>66</v>
      </c>
    </row>
    <row r="59" spans="1:11" ht="12.5" thickBot="1" x14ac:dyDescent="0.35">
      <c r="C59" s="12"/>
      <c r="D59" s="78"/>
      <c r="E59" s="1"/>
      <c r="F59" s="1"/>
      <c r="G59" s="1"/>
      <c r="H59" s="1"/>
      <c r="I59" s="1"/>
      <c r="J59" s="1"/>
      <c r="K59" s="1"/>
    </row>
    <row r="60" spans="1:11" ht="12.5" thickBot="1" x14ac:dyDescent="0.35">
      <c r="A60" s="82">
        <v>4</v>
      </c>
      <c r="B60" s="10" t="s">
        <v>13</v>
      </c>
      <c r="C60" s="13">
        <v>0</v>
      </c>
      <c r="D60" s="79">
        <f>Q30</f>
        <v>1950</v>
      </c>
      <c r="E60" s="21">
        <f>ROUNDUP(E21*0.3,0)</f>
        <v>56</v>
      </c>
      <c r="F60" s="21">
        <f t="shared" ref="F60:K60" si="22">ROUNDUP(F21*0.3,0)</f>
        <v>41</v>
      </c>
      <c r="G60" s="21">
        <f t="shared" si="22"/>
        <v>51</v>
      </c>
      <c r="H60" s="21">
        <f t="shared" si="22"/>
        <v>36</v>
      </c>
      <c r="I60" s="21">
        <f t="shared" si="22"/>
        <v>30</v>
      </c>
      <c r="J60" s="21">
        <f t="shared" si="22"/>
        <v>45</v>
      </c>
      <c r="K60" s="21">
        <f t="shared" si="22"/>
        <v>56</v>
      </c>
    </row>
    <row r="61" spans="1:11" ht="12.5" thickBot="1" x14ac:dyDescent="0.35">
      <c r="A61" s="83"/>
      <c r="B61" s="2" t="s">
        <v>14</v>
      </c>
      <c r="C61" s="15">
        <f t="shared" ref="C61:C63" si="23">D60+1</f>
        <v>1951</v>
      </c>
      <c r="D61" s="76">
        <f>R30</f>
        <v>2600</v>
      </c>
      <c r="E61" s="21">
        <f>ROUNDUP(E20*0.3,0)</f>
        <v>60</v>
      </c>
      <c r="F61" s="21">
        <f t="shared" ref="F61:K61" si="24">ROUNDUP(F20*0.3,0)</f>
        <v>45</v>
      </c>
      <c r="G61" s="21">
        <f t="shared" si="24"/>
        <v>56</v>
      </c>
      <c r="H61" s="21">
        <f t="shared" si="24"/>
        <v>41</v>
      </c>
      <c r="I61" s="21">
        <f t="shared" si="24"/>
        <v>36</v>
      </c>
      <c r="J61" s="21">
        <f t="shared" si="24"/>
        <v>51</v>
      </c>
      <c r="K61" s="21">
        <f t="shared" si="24"/>
        <v>60</v>
      </c>
    </row>
    <row r="62" spans="1:11" ht="12.5" thickBot="1" x14ac:dyDescent="0.35">
      <c r="A62" s="83"/>
      <c r="B62" s="2" t="s">
        <v>15</v>
      </c>
      <c r="C62" s="15">
        <f t="shared" si="23"/>
        <v>2601</v>
      </c>
      <c r="D62" s="76">
        <f>S30</f>
        <v>2850</v>
      </c>
      <c r="E62" s="21">
        <f>ROUNDUP(E19*0.3,0)</f>
        <v>66</v>
      </c>
      <c r="F62" s="21">
        <f t="shared" ref="F62:K62" si="25">ROUNDUP(F19*0.3,0)</f>
        <v>51</v>
      </c>
      <c r="G62" s="21">
        <f t="shared" si="25"/>
        <v>60</v>
      </c>
      <c r="H62" s="21">
        <f t="shared" si="25"/>
        <v>45</v>
      </c>
      <c r="I62" s="21">
        <f t="shared" si="25"/>
        <v>41</v>
      </c>
      <c r="J62" s="21">
        <f t="shared" si="25"/>
        <v>56</v>
      </c>
      <c r="K62" s="21">
        <f t="shared" si="25"/>
        <v>66</v>
      </c>
    </row>
    <row r="63" spans="1:11" ht="12.5" thickBot="1" x14ac:dyDescent="0.35">
      <c r="A63" s="84"/>
      <c r="B63" s="11" t="s">
        <v>16</v>
      </c>
      <c r="C63" s="18">
        <f t="shared" si="23"/>
        <v>2851</v>
      </c>
      <c r="D63" s="77">
        <f>T30</f>
        <v>3900</v>
      </c>
      <c r="E63" s="67">
        <f>ROUNDUP(E18*0.3,0)</f>
        <v>71</v>
      </c>
      <c r="F63" s="67">
        <f t="shared" ref="F63:K63" si="26">ROUNDUP(F18*0.3,0)</f>
        <v>56</v>
      </c>
      <c r="G63" s="67">
        <f t="shared" si="26"/>
        <v>66</v>
      </c>
      <c r="H63" s="67">
        <f t="shared" si="26"/>
        <v>51</v>
      </c>
      <c r="I63" s="67">
        <f t="shared" si="26"/>
        <v>45</v>
      </c>
      <c r="J63" s="67">
        <f t="shared" si="26"/>
        <v>60</v>
      </c>
      <c r="K63" s="67">
        <f t="shared" si="26"/>
        <v>71</v>
      </c>
    </row>
    <row r="64" spans="1:11" ht="12.5" thickBot="1" x14ac:dyDescent="0.35">
      <c r="A64" s="2" t="s">
        <v>50</v>
      </c>
      <c r="C64" s="12"/>
      <c r="D64" s="78"/>
      <c r="E64" s="1"/>
      <c r="F64" s="1"/>
      <c r="G64" s="1"/>
      <c r="H64" s="1"/>
      <c r="I64" s="1"/>
      <c r="J64" s="1"/>
      <c r="K64" s="1"/>
    </row>
    <row r="65" spans="1:11" ht="12.5" thickBot="1" x14ac:dyDescent="0.35">
      <c r="A65" s="82">
        <v>5</v>
      </c>
      <c r="B65" s="10" t="s">
        <v>13</v>
      </c>
      <c r="C65" s="13">
        <f>0</f>
        <v>0</v>
      </c>
      <c r="D65" s="79">
        <f>Q31</f>
        <v>2287</v>
      </c>
      <c r="E65" s="21">
        <f>ROUNDUP(E26*0.3,0)</f>
        <v>60</v>
      </c>
      <c r="F65" s="21">
        <f t="shared" ref="F65:K65" si="27">ROUNDUP(F26*0.3,0)</f>
        <v>45</v>
      </c>
      <c r="G65" s="21">
        <f t="shared" si="27"/>
        <v>56</v>
      </c>
      <c r="H65" s="21">
        <f t="shared" si="27"/>
        <v>41</v>
      </c>
      <c r="I65" s="21">
        <f t="shared" si="27"/>
        <v>36</v>
      </c>
      <c r="J65" s="21">
        <f t="shared" si="27"/>
        <v>51</v>
      </c>
      <c r="K65" s="21">
        <f t="shared" si="27"/>
        <v>60</v>
      </c>
    </row>
    <row r="66" spans="1:11" ht="12.5" thickBot="1" x14ac:dyDescent="0.35">
      <c r="A66" s="83"/>
      <c r="B66" s="2" t="s">
        <v>14</v>
      </c>
      <c r="C66" s="15">
        <f t="shared" ref="C66:C68" si="28">D65+1</f>
        <v>2288</v>
      </c>
      <c r="D66" s="76">
        <f>R31</f>
        <v>3049</v>
      </c>
      <c r="E66" s="21">
        <f>ROUNDUP(E25*0.3,0)</f>
        <v>66</v>
      </c>
      <c r="F66" s="21">
        <f t="shared" ref="F66:K66" si="29">ROUNDUP(F25*0.3,0)</f>
        <v>51</v>
      </c>
      <c r="G66" s="21">
        <f t="shared" si="29"/>
        <v>60</v>
      </c>
      <c r="H66" s="21">
        <f t="shared" si="29"/>
        <v>45</v>
      </c>
      <c r="I66" s="21">
        <f t="shared" si="29"/>
        <v>41</v>
      </c>
      <c r="J66" s="21">
        <f t="shared" si="29"/>
        <v>56</v>
      </c>
      <c r="K66" s="21">
        <f t="shared" si="29"/>
        <v>66</v>
      </c>
    </row>
    <row r="67" spans="1:11" ht="12.5" thickBot="1" x14ac:dyDescent="0.35">
      <c r="A67" s="83"/>
      <c r="B67" s="2" t="s">
        <v>15</v>
      </c>
      <c r="C67" s="15">
        <f t="shared" si="28"/>
        <v>3050</v>
      </c>
      <c r="D67" s="76">
        <f>S31</f>
        <v>3811</v>
      </c>
      <c r="E67" s="21">
        <f>ROUNDUP(E24*0.3,0)</f>
        <v>71</v>
      </c>
      <c r="F67" s="21">
        <f t="shared" ref="F67:K67" si="30">ROUNDUP(F24*0.3,0)</f>
        <v>56</v>
      </c>
      <c r="G67" s="21">
        <f t="shared" si="30"/>
        <v>66</v>
      </c>
      <c r="H67" s="21">
        <f t="shared" si="30"/>
        <v>51</v>
      </c>
      <c r="I67" s="21">
        <f t="shared" si="30"/>
        <v>45</v>
      </c>
      <c r="J67" s="21">
        <f t="shared" si="30"/>
        <v>60</v>
      </c>
      <c r="K67" s="21">
        <f t="shared" si="30"/>
        <v>71</v>
      </c>
    </row>
    <row r="68" spans="1:11" ht="12.5" thickBot="1" x14ac:dyDescent="0.35">
      <c r="A68" s="84"/>
      <c r="B68" s="11" t="s">
        <v>16</v>
      </c>
      <c r="C68" s="18">
        <f t="shared" si="28"/>
        <v>3812</v>
      </c>
      <c r="D68" s="77">
        <f>T31</f>
        <v>4573</v>
      </c>
      <c r="E68" s="21">
        <f>ROUNDUP(E23*0.3,0)</f>
        <v>75</v>
      </c>
      <c r="F68" s="21">
        <f t="shared" ref="F68:K68" si="31">ROUNDUP(F23*0.3,0)</f>
        <v>60</v>
      </c>
      <c r="G68" s="21">
        <f t="shared" si="31"/>
        <v>71</v>
      </c>
      <c r="H68" s="21">
        <f t="shared" si="31"/>
        <v>56</v>
      </c>
      <c r="I68" s="21">
        <f t="shared" si="31"/>
        <v>51</v>
      </c>
      <c r="J68" s="21">
        <f t="shared" si="31"/>
        <v>66</v>
      </c>
      <c r="K68" s="21">
        <f t="shared" si="31"/>
        <v>75</v>
      </c>
    </row>
    <row r="69" spans="1:11" ht="12.5" thickBot="1" x14ac:dyDescent="0.35">
      <c r="C69" s="12"/>
      <c r="D69" s="78"/>
      <c r="E69" s="1"/>
      <c r="F69" s="1"/>
      <c r="G69" s="1"/>
      <c r="H69" s="1"/>
      <c r="I69" s="1"/>
      <c r="J69" s="1"/>
      <c r="K69" s="1"/>
    </row>
    <row r="70" spans="1:11" x14ac:dyDescent="0.3">
      <c r="A70" s="82">
        <v>6</v>
      </c>
      <c r="B70" s="10" t="s">
        <v>13</v>
      </c>
      <c r="C70" s="13">
        <v>0</v>
      </c>
      <c r="D70" s="79">
        <f>Q32</f>
        <v>2623</v>
      </c>
      <c r="E70" s="21">
        <v>60</v>
      </c>
      <c r="F70" s="21">
        <v>45</v>
      </c>
      <c r="G70" s="21">
        <v>56</v>
      </c>
      <c r="H70" s="21">
        <v>41</v>
      </c>
      <c r="I70" s="21">
        <v>36</v>
      </c>
      <c r="J70" s="62">
        <v>51</v>
      </c>
      <c r="K70" s="61">
        <v>60</v>
      </c>
    </row>
    <row r="71" spans="1:11" x14ac:dyDescent="0.3">
      <c r="A71" s="83"/>
      <c r="B71" s="2" t="s">
        <v>14</v>
      </c>
      <c r="C71" s="15">
        <f t="shared" ref="C71:C73" si="32">D70+1</f>
        <v>2624</v>
      </c>
      <c r="D71" s="76">
        <f>R32</f>
        <v>3497</v>
      </c>
      <c r="E71" s="26">
        <v>66</v>
      </c>
      <c r="F71" s="26">
        <v>51</v>
      </c>
      <c r="G71" s="26">
        <v>60</v>
      </c>
      <c r="H71" s="26">
        <v>45</v>
      </c>
      <c r="I71" s="26">
        <v>41</v>
      </c>
      <c r="J71" s="1">
        <v>56</v>
      </c>
      <c r="K71" s="61">
        <v>66</v>
      </c>
    </row>
    <row r="72" spans="1:11" x14ac:dyDescent="0.3">
      <c r="A72" s="83"/>
      <c r="B72" s="2" t="s">
        <v>15</v>
      </c>
      <c r="C72" s="15">
        <f t="shared" si="32"/>
        <v>3498</v>
      </c>
      <c r="D72" s="76">
        <f>S32</f>
        <v>4371</v>
      </c>
      <c r="E72" s="26">
        <v>71</v>
      </c>
      <c r="F72" s="26">
        <v>56</v>
      </c>
      <c r="G72" s="26">
        <v>66</v>
      </c>
      <c r="H72" s="26">
        <v>51</v>
      </c>
      <c r="I72" s="26">
        <v>45</v>
      </c>
      <c r="J72" s="1">
        <v>60</v>
      </c>
      <c r="K72" s="61">
        <v>71</v>
      </c>
    </row>
    <row r="73" spans="1:11" ht="12.5" thickBot="1" x14ac:dyDescent="0.35">
      <c r="A73" s="84"/>
      <c r="B73" s="11" t="s">
        <v>16</v>
      </c>
      <c r="C73" s="18">
        <f t="shared" si="32"/>
        <v>4372</v>
      </c>
      <c r="D73" s="77">
        <f>T32</f>
        <v>5245</v>
      </c>
      <c r="E73" s="27">
        <v>75</v>
      </c>
      <c r="F73" s="27">
        <v>60</v>
      </c>
      <c r="G73" s="27">
        <v>71</v>
      </c>
      <c r="H73" s="27">
        <v>56</v>
      </c>
      <c r="I73" s="27">
        <v>51</v>
      </c>
      <c r="J73" s="63">
        <v>66</v>
      </c>
      <c r="K73" s="61">
        <v>75</v>
      </c>
    </row>
    <row r="74" spans="1:11" ht="12.5" thickBot="1" x14ac:dyDescent="0.35">
      <c r="A74" s="2" t="s">
        <v>39</v>
      </c>
      <c r="C74" s="12"/>
      <c r="D74" s="78"/>
      <c r="E74" s="1"/>
      <c r="F74" s="1"/>
      <c r="G74" s="1"/>
      <c r="H74" s="1"/>
      <c r="I74" s="1"/>
      <c r="J74" s="1"/>
      <c r="K74" s="1"/>
    </row>
    <row r="75" spans="1:11" ht="12.5" thickBot="1" x14ac:dyDescent="0.35">
      <c r="A75" s="82">
        <v>7</v>
      </c>
      <c r="B75" s="10" t="s">
        <v>13</v>
      </c>
      <c r="C75" s="13">
        <v>0</v>
      </c>
      <c r="D75" s="79">
        <f>Q33</f>
        <v>2935</v>
      </c>
      <c r="E75" s="21">
        <v>60</v>
      </c>
      <c r="F75" s="21">
        <v>45</v>
      </c>
      <c r="G75" s="21">
        <v>56</v>
      </c>
      <c r="H75" s="21">
        <v>41</v>
      </c>
      <c r="I75" s="21">
        <v>36</v>
      </c>
      <c r="J75" s="60">
        <v>51</v>
      </c>
      <c r="K75" s="61">
        <v>60</v>
      </c>
    </row>
    <row r="76" spans="1:11" ht="12.5" thickBot="1" x14ac:dyDescent="0.35">
      <c r="A76" s="83"/>
      <c r="B76" s="2" t="s">
        <v>14</v>
      </c>
      <c r="C76" s="15">
        <f t="shared" ref="C76:C78" si="33">D75+1</f>
        <v>2936</v>
      </c>
      <c r="D76" s="76">
        <f>R33</f>
        <v>3945</v>
      </c>
      <c r="E76" s="21">
        <v>66</v>
      </c>
      <c r="F76" s="21">
        <v>51</v>
      </c>
      <c r="G76" s="21">
        <v>60</v>
      </c>
      <c r="H76" s="21">
        <v>45</v>
      </c>
      <c r="I76" s="21">
        <v>41</v>
      </c>
      <c r="J76" s="60">
        <v>56</v>
      </c>
      <c r="K76" s="61">
        <v>66</v>
      </c>
    </row>
    <row r="77" spans="1:11" ht="12.5" thickBot="1" x14ac:dyDescent="0.35">
      <c r="A77" s="83"/>
      <c r="B77" s="2" t="s">
        <v>15</v>
      </c>
      <c r="C77" s="15">
        <f t="shared" si="33"/>
        <v>3946</v>
      </c>
      <c r="D77" s="76">
        <f>S33</f>
        <v>4932</v>
      </c>
      <c r="E77" s="21">
        <v>71</v>
      </c>
      <c r="F77" s="21">
        <v>56</v>
      </c>
      <c r="G77" s="21">
        <v>66</v>
      </c>
      <c r="H77" s="21">
        <v>51</v>
      </c>
      <c r="I77" s="21">
        <v>45</v>
      </c>
      <c r="J77" s="60">
        <v>60</v>
      </c>
      <c r="K77" s="61">
        <v>71</v>
      </c>
    </row>
    <row r="78" spans="1:11" ht="12.5" thickBot="1" x14ac:dyDescent="0.35">
      <c r="A78" s="84"/>
      <c r="B78" s="11" t="s">
        <v>16</v>
      </c>
      <c r="C78" s="18">
        <f t="shared" si="33"/>
        <v>4933</v>
      </c>
      <c r="D78" s="77">
        <f>T33</f>
        <v>5918</v>
      </c>
      <c r="E78" s="21">
        <v>75</v>
      </c>
      <c r="F78" s="21">
        <v>60</v>
      </c>
      <c r="G78" s="21">
        <v>71</v>
      </c>
      <c r="H78" s="21">
        <v>56</v>
      </c>
      <c r="I78" s="21">
        <v>51</v>
      </c>
      <c r="J78" s="60">
        <v>66</v>
      </c>
      <c r="K78" s="61">
        <v>75</v>
      </c>
    </row>
    <row r="79" spans="1:11" ht="12.5" thickBot="1" x14ac:dyDescent="0.35">
      <c r="C79" s="12"/>
      <c r="D79" s="78"/>
      <c r="E79" s="1"/>
      <c r="F79" s="1"/>
      <c r="G79" s="1"/>
      <c r="H79" s="1"/>
      <c r="I79" s="1"/>
      <c r="J79" s="1"/>
      <c r="K79" s="1"/>
    </row>
    <row r="80" spans="1:11" x14ac:dyDescent="0.3">
      <c r="A80" s="82">
        <v>8</v>
      </c>
      <c r="B80" s="10" t="s">
        <v>13</v>
      </c>
      <c r="C80" s="13">
        <v>0</v>
      </c>
      <c r="D80" s="79">
        <f>Q34</f>
        <v>2895</v>
      </c>
      <c r="E80" s="21">
        <v>60</v>
      </c>
      <c r="F80" s="21">
        <v>45</v>
      </c>
      <c r="G80" s="21">
        <v>56</v>
      </c>
      <c r="H80" s="21">
        <v>41</v>
      </c>
      <c r="I80" s="21">
        <v>36</v>
      </c>
      <c r="J80" s="62">
        <v>51</v>
      </c>
      <c r="K80" s="61">
        <v>60</v>
      </c>
    </row>
    <row r="81" spans="1:11" x14ac:dyDescent="0.3">
      <c r="A81" s="83"/>
      <c r="B81" s="2" t="s">
        <v>14</v>
      </c>
      <c r="C81" s="15">
        <f t="shared" ref="C81:C83" si="34">D80+1</f>
        <v>2896</v>
      </c>
      <c r="D81" s="76">
        <f>R34</f>
        <v>4394</v>
      </c>
      <c r="E81" s="26">
        <v>66</v>
      </c>
      <c r="F81" s="26">
        <v>51</v>
      </c>
      <c r="G81" s="26">
        <v>60</v>
      </c>
      <c r="H81" s="26">
        <v>45</v>
      </c>
      <c r="I81" s="26">
        <v>41</v>
      </c>
      <c r="J81" s="1">
        <v>56</v>
      </c>
      <c r="K81" s="61">
        <v>66</v>
      </c>
    </row>
    <row r="82" spans="1:11" x14ac:dyDescent="0.3">
      <c r="A82" s="83"/>
      <c r="B82" s="2" t="s">
        <v>15</v>
      </c>
      <c r="C82" s="15">
        <f t="shared" si="34"/>
        <v>4395</v>
      </c>
      <c r="D82" s="76">
        <f>S34</f>
        <v>5492</v>
      </c>
      <c r="E82" s="26">
        <v>71</v>
      </c>
      <c r="F82" s="26">
        <v>56</v>
      </c>
      <c r="G82" s="26">
        <v>66</v>
      </c>
      <c r="H82" s="26">
        <v>51</v>
      </c>
      <c r="I82" s="26">
        <v>45</v>
      </c>
      <c r="J82" s="1">
        <v>60</v>
      </c>
      <c r="K82" s="61">
        <v>71</v>
      </c>
    </row>
    <row r="83" spans="1:11" ht="12.5" thickBot="1" x14ac:dyDescent="0.35">
      <c r="A83" s="84"/>
      <c r="B83" s="11" t="s">
        <v>16</v>
      </c>
      <c r="C83" s="18">
        <f t="shared" si="34"/>
        <v>5493</v>
      </c>
      <c r="D83" s="77">
        <f>T34</f>
        <v>6590</v>
      </c>
      <c r="E83" s="27">
        <v>75</v>
      </c>
      <c r="F83" s="27">
        <v>60</v>
      </c>
      <c r="G83" s="27">
        <v>71</v>
      </c>
      <c r="H83" s="27">
        <v>56</v>
      </c>
      <c r="I83" s="27">
        <v>51</v>
      </c>
      <c r="J83" s="63">
        <v>66</v>
      </c>
      <c r="K83" s="61">
        <v>75</v>
      </c>
    </row>
  </sheetData>
  <autoFilter ref="A2:T6" xr:uid="{8BCE7B0E-0CD4-4565-A0FF-5226D7D2ABF0}">
    <filterColumn colId="2" showButton="0"/>
  </autoFilter>
  <mergeCells count="21">
    <mergeCell ref="A18:A21"/>
    <mergeCell ref="A23:A26"/>
    <mergeCell ref="A28:A31"/>
    <mergeCell ref="A33:A36"/>
    <mergeCell ref="A38:A41"/>
    <mergeCell ref="A13:A16"/>
    <mergeCell ref="A1:D1"/>
    <mergeCell ref="E1:J1"/>
    <mergeCell ref="C2:D2"/>
    <mergeCell ref="A3:A6"/>
    <mergeCell ref="A8:A11"/>
    <mergeCell ref="A65:A68"/>
    <mergeCell ref="A70:A73"/>
    <mergeCell ref="A75:A78"/>
    <mergeCell ref="A80:A83"/>
    <mergeCell ref="C43:J43"/>
    <mergeCell ref="C44:D44"/>
    <mergeCell ref="A45:A48"/>
    <mergeCell ref="A50:A53"/>
    <mergeCell ref="A55:A58"/>
    <mergeCell ref="A60:A6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462BB-1242-4C7E-B9E9-AD6488A48AFA}">
  <dimension ref="A1:R41"/>
  <sheetViews>
    <sheetView topLeftCell="A12" workbookViewId="0">
      <selection activeCell="M34" sqref="M34"/>
    </sheetView>
    <sheetView workbookViewId="1">
      <selection sqref="A1:D1"/>
    </sheetView>
  </sheetViews>
  <sheetFormatPr defaultColWidth="8.81640625" defaultRowHeight="12" x14ac:dyDescent="0.3"/>
  <cols>
    <col min="1" max="2" width="9.453125" style="2" customWidth="1"/>
    <col min="3" max="3" width="10.08984375" style="2" customWidth="1"/>
    <col min="4" max="4" width="8.81640625" style="72"/>
    <col min="5" max="13" width="8.81640625" style="2"/>
    <col min="14" max="14" width="0" style="2" hidden="1" customWidth="1"/>
    <col min="15" max="16384" width="8.81640625" style="2"/>
  </cols>
  <sheetData>
    <row r="1" spans="1:18" x14ac:dyDescent="0.3">
      <c r="A1" s="81" t="s">
        <v>19</v>
      </c>
      <c r="B1" s="81"/>
      <c r="C1" s="81"/>
      <c r="D1" s="81"/>
      <c r="E1" s="2" t="s">
        <v>10</v>
      </c>
      <c r="G1" s="81" t="s">
        <v>18</v>
      </c>
      <c r="H1" s="81"/>
      <c r="I1" s="81"/>
      <c r="J1" s="81"/>
      <c r="K1" s="2" t="s">
        <v>10</v>
      </c>
    </row>
    <row r="2" spans="1:18" s="1" customFormat="1" ht="24.5" thickBot="1" x14ac:dyDescent="0.35">
      <c r="A2" s="8" t="s">
        <v>0</v>
      </c>
      <c r="B2" s="8"/>
      <c r="C2" s="87" t="s">
        <v>1</v>
      </c>
      <c r="D2" s="87"/>
      <c r="E2" s="25" t="s">
        <v>11</v>
      </c>
      <c r="G2" s="8" t="s">
        <v>0</v>
      </c>
      <c r="H2" s="8"/>
      <c r="I2" s="87" t="s">
        <v>1</v>
      </c>
      <c r="J2" s="87"/>
      <c r="K2" s="25" t="s">
        <v>11</v>
      </c>
    </row>
    <row r="3" spans="1:18" ht="11.75" customHeight="1" x14ac:dyDescent="0.3">
      <c r="A3" s="82">
        <v>1</v>
      </c>
      <c r="B3" s="10" t="s">
        <v>13</v>
      </c>
      <c r="C3" s="13">
        <v>0</v>
      </c>
      <c r="D3" s="74">
        <f>O27</f>
        <v>942</v>
      </c>
      <c r="E3" s="24"/>
      <c r="G3" s="82">
        <v>1</v>
      </c>
      <c r="H3" s="10" t="s">
        <v>13</v>
      </c>
      <c r="I3" s="13">
        <v>0</v>
      </c>
      <c r="J3" s="14">
        <f>O27</f>
        <v>942</v>
      </c>
      <c r="K3" s="24"/>
    </row>
    <row r="4" spans="1:18" ht="11.75" customHeight="1" x14ac:dyDescent="0.3">
      <c r="A4" s="83"/>
      <c r="B4" s="2" t="s">
        <v>14</v>
      </c>
      <c r="C4" s="15">
        <f>D3+1</f>
        <v>943</v>
      </c>
      <c r="D4" s="75">
        <f>P27</f>
        <v>1255</v>
      </c>
      <c r="E4" s="22"/>
      <c r="G4" s="83"/>
      <c r="H4" s="2" t="s">
        <v>14</v>
      </c>
      <c r="I4" s="15">
        <f>J3+1</f>
        <v>943</v>
      </c>
      <c r="J4" s="16">
        <f>P27</f>
        <v>1255</v>
      </c>
      <c r="K4" s="22"/>
    </row>
    <row r="5" spans="1:18" ht="11.75" customHeight="1" x14ac:dyDescent="0.3">
      <c r="A5" s="83"/>
      <c r="B5" s="2" t="s">
        <v>15</v>
      </c>
      <c r="C5" s="15">
        <f>D4+1</f>
        <v>1256</v>
      </c>
      <c r="D5" s="76">
        <f>Q27</f>
        <v>1569</v>
      </c>
      <c r="E5" s="22"/>
      <c r="G5" s="83"/>
      <c r="H5" s="2" t="s">
        <v>15</v>
      </c>
      <c r="I5" s="15">
        <f>J4+1</f>
        <v>1256</v>
      </c>
      <c r="J5" s="17">
        <f>Q27</f>
        <v>1569</v>
      </c>
      <c r="K5" s="22"/>
    </row>
    <row r="6" spans="1:18" ht="12" customHeight="1" thickBot="1" x14ac:dyDescent="0.35">
      <c r="A6" s="84"/>
      <c r="B6" s="11" t="s">
        <v>16</v>
      </c>
      <c r="C6" s="18">
        <f>D5+1</f>
        <v>1570</v>
      </c>
      <c r="D6" s="77">
        <f>R27</f>
        <v>1883</v>
      </c>
      <c r="E6" s="23"/>
      <c r="G6" s="84"/>
      <c r="H6" s="11" t="s">
        <v>16</v>
      </c>
      <c r="I6" s="18">
        <f>J5+1</f>
        <v>1570</v>
      </c>
      <c r="J6" s="19">
        <f>R27</f>
        <v>1883</v>
      </c>
      <c r="K6" s="23"/>
      <c r="M6" s="3"/>
      <c r="N6" s="3"/>
    </row>
    <row r="7" spans="1:18" ht="12" customHeight="1" thickBot="1" x14ac:dyDescent="0.35">
      <c r="A7" s="1"/>
      <c r="C7" s="12"/>
      <c r="D7" s="78"/>
      <c r="G7" s="1"/>
      <c r="I7" s="12"/>
      <c r="J7" s="12"/>
    </row>
    <row r="8" spans="1:18" ht="21" customHeight="1" x14ac:dyDescent="0.3">
      <c r="A8" s="82">
        <v>2</v>
      </c>
      <c r="B8" s="10" t="s">
        <v>13</v>
      </c>
      <c r="C8" s="13">
        <v>0</v>
      </c>
      <c r="D8" s="74">
        <f>O28</f>
        <v>1278</v>
      </c>
      <c r="E8" s="24"/>
      <c r="G8" s="82">
        <v>2</v>
      </c>
      <c r="H8" s="10" t="s">
        <v>13</v>
      </c>
      <c r="I8" s="13">
        <v>0</v>
      </c>
      <c r="J8" s="20">
        <f>O28</f>
        <v>1278</v>
      </c>
      <c r="K8" s="24"/>
      <c r="M8" s="6" t="s">
        <v>8</v>
      </c>
      <c r="N8" s="7">
        <v>1</v>
      </c>
      <c r="O8" s="7">
        <v>0.75</v>
      </c>
      <c r="P8" s="7">
        <v>1</v>
      </c>
      <c r="Q8" s="7">
        <v>1.25</v>
      </c>
      <c r="R8" s="7">
        <v>1.5</v>
      </c>
    </row>
    <row r="9" spans="1:18" ht="11.75" customHeight="1" x14ac:dyDescent="0.3">
      <c r="A9" s="83"/>
      <c r="B9" s="2" t="s">
        <v>14</v>
      </c>
      <c r="C9" s="15">
        <f>D8+1</f>
        <v>1279</v>
      </c>
      <c r="D9" s="75">
        <f>P28</f>
        <v>1704</v>
      </c>
      <c r="E9" s="22"/>
      <c r="G9" s="83"/>
      <c r="H9" s="2" t="s">
        <v>14</v>
      </c>
      <c r="I9" s="15">
        <f>J8+1</f>
        <v>1279</v>
      </c>
      <c r="J9" s="17">
        <f>P28</f>
        <v>1704</v>
      </c>
      <c r="K9" s="22"/>
      <c r="M9" s="5">
        <v>1</v>
      </c>
      <c r="N9" s="4">
        <v>1255</v>
      </c>
      <c r="O9" s="4">
        <f>ROUNDUP(941.25,2)</f>
        <v>941.25</v>
      </c>
      <c r="P9" s="4">
        <v>1255</v>
      </c>
      <c r="Q9" s="4">
        <v>1568.75</v>
      </c>
      <c r="R9" s="4">
        <v>1882.5</v>
      </c>
    </row>
    <row r="10" spans="1:18" ht="11.75" customHeight="1" x14ac:dyDescent="0.3">
      <c r="A10" s="83"/>
      <c r="B10" s="2" t="s">
        <v>15</v>
      </c>
      <c r="C10" s="15">
        <f t="shared" ref="C10:C11" si="0">D9+1</f>
        <v>1705</v>
      </c>
      <c r="D10" s="76">
        <f>Q28</f>
        <v>2130</v>
      </c>
      <c r="E10" s="22"/>
      <c r="G10" s="83"/>
      <c r="H10" s="2" t="s">
        <v>15</v>
      </c>
      <c r="I10" s="15">
        <f t="shared" ref="I10:I11" si="1">J9+1</f>
        <v>1705</v>
      </c>
      <c r="J10" s="17">
        <f>Q28</f>
        <v>2130</v>
      </c>
      <c r="K10" s="22"/>
      <c r="M10" s="5">
        <v>2</v>
      </c>
      <c r="N10" s="4">
        <v>1703.3333333333333</v>
      </c>
      <c r="O10" s="4">
        <v>1277.5</v>
      </c>
      <c r="P10" s="4">
        <v>1703.3333333333333</v>
      </c>
      <c r="Q10" s="4">
        <v>2129.1666666666665</v>
      </c>
      <c r="R10" s="4">
        <v>2555</v>
      </c>
    </row>
    <row r="11" spans="1:18" ht="12" customHeight="1" thickBot="1" x14ac:dyDescent="0.35">
      <c r="A11" s="84"/>
      <c r="B11" s="11" t="s">
        <v>16</v>
      </c>
      <c r="C11" s="18">
        <f t="shared" si="0"/>
        <v>2131</v>
      </c>
      <c r="D11" s="77">
        <f>R28</f>
        <v>2555</v>
      </c>
      <c r="E11" s="23"/>
      <c r="G11" s="84"/>
      <c r="H11" s="11" t="s">
        <v>16</v>
      </c>
      <c r="I11" s="18">
        <f t="shared" si="1"/>
        <v>2131</v>
      </c>
      <c r="J11" s="19">
        <f>R28</f>
        <v>2555</v>
      </c>
      <c r="K11" s="23"/>
      <c r="M11" s="5">
        <v>3</v>
      </c>
      <c r="N11" s="4">
        <v>2151.6666666666665</v>
      </c>
      <c r="O11" s="4">
        <v>1613.75</v>
      </c>
      <c r="P11" s="4">
        <v>2151.6666666666665</v>
      </c>
      <c r="Q11" s="4">
        <v>2689.5833333333335</v>
      </c>
      <c r="R11" s="4">
        <v>3227.5</v>
      </c>
    </row>
    <row r="12" spans="1:18" ht="12" customHeight="1" thickBot="1" x14ac:dyDescent="0.35">
      <c r="C12" s="12"/>
      <c r="D12" s="78"/>
      <c r="I12" s="12"/>
      <c r="J12" s="12"/>
      <c r="M12" s="5">
        <v>4</v>
      </c>
      <c r="N12" s="4">
        <v>2600</v>
      </c>
      <c r="O12" s="4">
        <v>1950</v>
      </c>
      <c r="P12" s="4">
        <v>2600</v>
      </c>
      <c r="Q12" s="4">
        <v>3250</v>
      </c>
      <c r="R12" s="4">
        <v>3900</v>
      </c>
    </row>
    <row r="13" spans="1:18" ht="11.75" customHeight="1" x14ac:dyDescent="0.3">
      <c r="A13" s="82">
        <v>3</v>
      </c>
      <c r="B13" s="10" t="s">
        <v>13</v>
      </c>
      <c r="C13" s="13">
        <v>0</v>
      </c>
      <c r="D13" s="74">
        <f>O29</f>
        <v>1614</v>
      </c>
      <c r="E13" s="24"/>
      <c r="G13" s="82">
        <v>3</v>
      </c>
      <c r="H13" s="10" t="s">
        <v>13</v>
      </c>
      <c r="I13" s="13">
        <v>0</v>
      </c>
      <c r="J13" s="20">
        <f>O29</f>
        <v>1614</v>
      </c>
      <c r="K13" s="24"/>
      <c r="M13" s="5">
        <v>5</v>
      </c>
      <c r="N13" s="4">
        <v>3048.3333333333335</v>
      </c>
      <c r="O13" s="4">
        <v>2286.25</v>
      </c>
      <c r="P13" s="4">
        <v>3048.3333333333335</v>
      </c>
      <c r="Q13" s="4">
        <v>3810.4166666666665</v>
      </c>
      <c r="R13" s="4">
        <v>4572.5</v>
      </c>
    </row>
    <row r="14" spans="1:18" ht="11.75" customHeight="1" x14ac:dyDescent="0.3">
      <c r="A14" s="83"/>
      <c r="B14" s="2" t="s">
        <v>14</v>
      </c>
      <c r="C14" s="15">
        <f>D13+1</f>
        <v>1615</v>
      </c>
      <c r="D14" s="75">
        <f>P29</f>
        <v>2152</v>
      </c>
      <c r="E14" s="22"/>
      <c r="G14" s="83"/>
      <c r="H14" s="2" t="s">
        <v>14</v>
      </c>
      <c r="I14" s="15">
        <f>J13+1</f>
        <v>1615</v>
      </c>
      <c r="J14" s="17">
        <f>P29</f>
        <v>2152</v>
      </c>
      <c r="K14" s="22"/>
      <c r="M14" s="5">
        <v>6</v>
      </c>
      <c r="N14" s="4">
        <v>3496.6666666666665</v>
      </c>
      <c r="O14" s="4">
        <v>2622.5</v>
      </c>
      <c r="P14" s="4">
        <v>3496.6666666666665</v>
      </c>
      <c r="Q14" s="4">
        <v>4370.833333333333</v>
      </c>
      <c r="R14" s="4">
        <v>5245</v>
      </c>
    </row>
    <row r="15" spans="1:18" ht="11.75" customHeight="1" x14ac:dyDescent="0.3">
      <c r="A15" s="83"/>
      <c r="B15" s="2" t="s">
        <v>15</v>
      </c>
      <c r="C15" s="15">
        <f t="shared" ref="C15:C41" si="2">D14+1</f>
        <v>2153</v>
      </c>
      <c r="D15" s="76">
        <f>Q29</f>
        <v>2690</v>
      </c>
      <c r="E15" s="22"/>
      <c r="G15" s="83"/>
      <c r="H15" s="2" t="s">
        <v>15</v>
      </c>
      <c r="I15" s="15">
        <f t="shared" ref="I15:I16" si="3">J14+1</f>
        <v>2153</v>
      </c>
      <c r="J15" s="17">
        <f>Q29</f>
        <v>2690</v>
      </c>
      <c r="K15" s="22"/>
      <c r="M15" s="5">
        <v>7</v>
      </c>
      <c r="N15" s="4">
        <v>3945</v>
      </c>
      <c r="O15" s="4">
        <v>2958.75</v>
      </c>
      <c r="P15" s="4">
        <v>3945</v>
      </c>
      <c r="Q15" s="4">
        <v>4931.25</v>
      </c>
      <c r="R15" s="4">
        <v>5917.5</v>
      </c>
    </row>
    <row r="16" spans="1:18" ht="12" customHeight="1" thickBot="1" x14ac:dyDescent="0.35">
      <c r="A16" s="84"/>
      <c r="B16" s="11" t="s">
        <v>16</v>
      </c>
      <c r="C16" s="18">
        <f t="shared" si="2"/>
        <v>2691</v>
      </c>
      <c r="D16" s="77">
        <f>R29</f>
        <v>3228</v>
      </c>
      <c r="E16" s="23"/>
      <c r="G16" s="84"/>
      <c r="H16" s="11" t="s">
        <v>16</v>
      </c>
      <c r="I16" s="18">
        <f t="shared" si="3"/>
        <v>2691</v>
      </c>
      <c r="J16" s="19">
        <f>R29</f>
        <v>3228</v>
      </c>
      <c r="K16" s="23"/>
      <c r="M16" s="5">
        <v>8</v>
      </c>
      <c r="N16" s="4">
        <v>4393.333333333333</v>
      </c>
      <c r="O16" s="4">
        <v>3295</v>
      </c>
      <c r="P16" s="4">
        <v>4393.333333333333</v>
      </c>
      <c r="Q16" s="4">
        <v>5491.666666666667</v>
      </c>
      <c r="R16" s="4">
        <v>6590</v>
      </c>
    </row>
    <row r="17" spans="1:18" ht="12" customHeight="1" thickBot="1" x14ac:dyDescent="0.35">
      <c r="C17" s="12"/>
      <c r="D17" s="78"/>
      <c r="I17" s="12"/>
      <c r="J17" s="12"/>
      <c r="M17" s="5">
        <v>9</v>
      </c>
      <c r="N17" s="4">
        <v>4841.666666666667</v>
      </c>
      <c r="O17" s="4">
        <v>3631.25</v>
      </c>
      <c r="P17" s="4">
        <v>4841.666666666667</v>
      </c>
      <c r="Q17" s="4">
        <v>6052.083333333333</v>
      </c>
      <c r="R17" s="4">
        <v>7262.5</v>
      </c>
    </row>
    <row r="18" spans="1:18" ht="11.75" customHeight="1" x14ac:dyDescent="0.3">
      <c r="A18" s="82">
        <v>4</v>
      </c>
      <c r="B18" s="10" t="s">
        <v>13</v>
      </c>
      <c r="C18" s="13">
        <v>0</v>
      </c>
      <c r="D18" s="74">
        <f>O30</f>
        <v>1950</v>
      </c>
      <c r="E18" s="24"/>
      <c r="G18" s="82">
        <v>4</v>
      </c>
      <c r="H18" s="10" t="s">
        <v>13</v>
      </c>
      <c r="I18" s="13">
        <v>0</v>
      </c>
      <c r="J18" s="20">
        <f>O30</f>
        <v>1950</v>
      </c>
      <c r="K18" s="24"/>
      <c r="M18" s="5">
        <v>10</v>
      </c>
      <c r="N18" s="4">
        <v>5290</v>
      </c>
      <c r="O18" s="4">
        <v>3967.5</v>
      </c>
      <c r="P18" s="4">
        <v>5290</v>
      </c>
      <c r="Q18" s="4">
        <v>6612.5</v>
      </c>
      <c r="R18" s="4">
        <v>7931</v>
      </c>
    </row>
    <row r="19" spans="1:18" ht="11.75" customHeight="1" x14ac:dyDescent="0.3">
      <c r="A19" s="83"/>
      <c r="B19" s="2" t="s">
        <v>14</v>
      </c>
      <c r="C19" s="15">
        <f t="shared" si="2"/>
        <v>1951</v>
      </c>
      <c r="D19" s="75">
        <f>P30</f>
        <v>2600</v>
      </c>
      <c r="E19" s="22"/>
      <c r="G19" s="83"/>
      <c r="H19" s="2" t="s">
        <v>14</v>
      </c>
      <c r="I19" s="15">
        <f t="shared" ref="I19:I21" si="4">J18+1</f>
        <v>1951</v>
      </c>
      <c r="J19" s="17">
        <f>P30</f>
        <v>2600</v>
      </c>
      <c r="K19" s="22"/>
      <c r="M19" s="5">
        <v>11</v>
      </c>
      <c r="N19" s="4">
        <v>5738.333333333333</v>
      </c>
      <c r="O19" s="4">
        <v>4303.75</v>
      </c>
      <c r="P19" s="4">
        <v>5738.333333333333</v>
      </c>
      <c r="Q19" s="4">
        <v>7172.916666666667</v>
      </c>
      <c r="R19" s="4">
        <v>8607.5</v>
      </c>
    </row>
    <row r="20" spans="1:18" ht="11.75" customHeight="1" x14ac:dyDescent="0.3">
      <c r="A20" s="83"/>
      <c r="B20" s="2" t="s">
        <v>15</v>
      </c>
      <c r="C20" s="15">
        <f t="shared" si="2"/>
        <v>2601</v>
      </c>
      <c r="D20" s="76">
        <f>Q30</f>
        <v>3250</v>
      </c>
      <c r="E20" s="22"/>
      <c r="G20" s="83"/>
      <c r="H20" s="2" t="s">
        <v>15</v>
      </c>
      <c r="I20" s="15">
        <f t="shared" si="4"/>
        <v>2601</v>
      </c>
      <c r="J20" s="17">
        <f>Q30</f>
        <v>3250</v>
      </c>
      <c r="K20" s="22"/>
      <c r="M20" s="5">
        <v>12</v>
      </c>
      <c r="N20" s="4">
        <v>6186.666666666667</v>
      </c>
      <c r="O20" s="4">
        <v>4640</v>
      </c>
      <c r="P20" s="4">
        <v>6186.666666666667</v>
      </c>
      <c r="Q20" s="4">
        <v>7733.333333333333</v>
      </c>
      <c r="R20" s="4">
        <v>9280</v>
      </c>
    </row>
    <row r="21" spans="1:18" ht="12" customHeight="1" thickBot="1" x14ac:dyDescent="0.35">
      <c r="A21" s="84"/>
      <c r="B21" s="11" t="s">
        <v>16</v>
      </c>
      <c r="C21" s="18">
        <f t="shared" si="2"/>
        <v>3251</v>
      </c>
      <c r="D21" s="77">
        <f>R30</f>
        <v>3900</v>
      </c>
      <c r="E21" s="23"/>
      <c r="G21" s="84"/>
      <c r="H21" s="11" t="s">
        <v>16</v>
      </c>
      <c r="I21" s="18">
        <f t="shared" si="4"/>
        <v>3251</v>
      </c>
      <c r="J21" s="19">
        <f>R30</f>
        <v>3900</v>
      </c>
      <c r="K21" s="23"/>
      <c r="M21" s="5">
        <v>13</v>
      </c>
      <c r="N21" s="4">
        <v>6631</v>
      </c>
      <c r="O21" s="4">
        <v>4976.25</v>
      </c>
      <c r="P21" s="4">
        <v>6631</v>
      </c>
      <c r="Q21" s="4">
        <v>8293.75</v>
      </c>
      <c r="R21" s="4">
        <v>9952.5</v>
      </c>
    </row>
    <row r="22" spans="1:18" ht="12" customHeight="1" thickBot="1" x14ac:dyDescent="0.35">
      <c r="C22" s="12"/>
      <c r="D22" s="78"/>
      <c r="I22" s="12"/>
      <c r="J22" s="12"/>
      <c r="M22" s="5">
        <v>14</v>
      </c>
      <c r="N22" s="4">
        <v>7083.333333333333</v>
      </c>
      <c r="O22" s="4">
        <v>5312.5</v>
      </c>
      <c r="P22" s="4">
        <v>7083.333333333333</v>
      </c>
      <c r="Q22" s="4">
        <v>8854.1666666666661</v>
      </c>
      <c r="R22" s="4">
        <v>10625</v>
      </c>
    </row>
    <row r="23" spans="1:18" ht="11.75" customHeight="1" x14ac:dyDescent="0.3">
      <c r="A23" s="82">
        <v>5</v>
      </c>
      <c r="B23" s="10" t="s">
        <v>13</v>
      </c>
      <c r="C23" s="13">
        <f>0</f>
        <v>0</v>
      </c>
      <c r="D23" s="74">
        <f>O31</f>
        <v>2287</v>
      </c>
      <c r="E23" s="24"/>
      <c r="G23" s="82">
        <v>5</v>
      </c>
      <c r="H23" s="10" t="s">
        <v>13</v>
      </c>
      <c r="I23" s="13">
        <f>0</f>
        <v>0</v>
      </c>
      <c r="J23" s="20">
        <f>O31</f>
        <v>2287</v>
      </c>
      <c r="K23" s="24"/>
    </row>
    <row r="24" spans="1:18" ht="11.75" customHeight="1" x14ac:dyDescent="0.3">
      <c r="A24" s="83"/>
      <c r="B24" s="2" t="s">
        <v>14</v>
      </c>
      <c r="C24" s="15">
        <f t="shared" si="2"/>
        <v>2288</v>
      </c>
      <c r="D24" s="75">
        <f>P31</f>
        <v>3049</v>
      </c>
      <c r="E24" s="22"/>
      <c r="G24" s="83"/>
      <c r="H24" s="2" t="s">
        <v>14</v>
      </c>
      <c r="I24" s="15">
        <f t="shared" ref="I24:I26" si="5">J23+1</f>
        <v>2288</v>
      </c>
      <c r="J24" s="17">
        <f>P31</f>
        <v>3049</v>
      </c>
      <c r="K24" s="22"/>
    </row>
    <row r="25" spans="1:18" ht="11.75" customHeight="1" x14ac:dyDescent="0.3">
      <c r="A25" s="83"/>
      <c r="B25" s="2" t="s">
        <v>15</v>
      </c>
      <c r="C25" s="15">
        <f t="shared" si="2"/>
        <v>3050</v>
      </c>
      <c r="D25" s="76">
        <f>Q31</f>
        <v>3811</v>
      </c>
      <c r="E25" s="22"/>
      <c r="G25" s="83"/>
      <c r="H25" s="2" t="s">
        <v>15</v>
      </c>
      <c r="I25" s="15">
        <f t="shared" si="5"/>
        <v>3050</v>
      </c>
      <c r="J25" s="17">
        <f>Q31</f>
        <v>3811</v>
      </c>
      <c r="K25" s="22"/>
      <c r="M25" s="2" t="s">
        <v>17</v>
      </c>
    </row>
    <row r="26" spans="1:18" ht="12.75" customHeight="1" thickBot="1" x14ac:dyDescent="0.35">
      <c r="A26" s="84"/>
      <c r="B26" s="11" t="s">
        <v>16</v>
      </c>
      <c r="C26" s="18">
        <f t="shared" si="2"/>
        <v>3812</v>
      </c>
      <c r="D26" s="77">
        <f>R31</f>
        <v>4573</v>
      </c>
      <c r="E26" s="23"/>
      <c r="G26" s="84"/>
      <c r="H26" s="11" t="s">
        <v>16</v>
      </c>
      <c r="I26" s="18">
        <f t="shared" si="5"/>
        <v>3812</v>
      </c>
      <c r="J26" s="19">
        <f>R31</f>
        <v>4573</v>
      </c>
      <c r="K26" s="23"/>
      <c r="M26" s="6" t="s">
        <v>8</v>
      </c>
    </row>
    <row r="27" spans="1:18" ht="12" customHeight="1" thickBot="1" x14ac:dyDescent="0.35">
      <c r="C27" s="12"/>
      <c r="D27" s="78"/>
      <c r="I27" s="12"/>
      <c r="J27" s="12"/>
      <c r="M27" s="5">
        <v>1</v>
      </c>
      <c r="O27" s="4">
        <f>ISO.CEILING(O9)</f>
        <v>942</v>
      </c>
      <c r="P27" s="4">
        <f t="shared" ref="P27:R27" si="6">ISO.CEILING(P9)</f>
        <v>1255</v>
      </c>
      <c r="Q27" s="4">
        <f t="shared" si="6"/>
        <v>1569</v>
      </c>
      <c r="R27" s="4">
        <f t="shared" si="6"/>
        <v>1883</v>
      </c>
    </row>
    <row r="28" spans="1:18" ht="11.75" customHeight="1" x14ac:dyDescent="0.3">
      <c r="A28" s="82">
        <v>6</v>
      </c>
      <c r="B28" s="10" t="s">
        <v>13</v>
      </c>
      <c r="C28" s="13">
        <v>0</v>
      </c>
      <c r="D28" s="74">
        <f>O32</f>
        <v>2623</v>
      </c>
      <c r="E28" s="24"/>
      <c r="G28" s="82">
        <v>6</v>
      </c>
      <c r="H28" s="10" t="s">
        <v>13</v>
      </c>
      <c r="I28" s="13">
        <v>0</v>
      </c>
      <c r="J28" s="20">
        <f>O32</f>
        <v>2623</v>
      </c>
      <c r="K28" s="24"/>
      <c r="M28" s="5">
        <v>2</v>
      </c>
      <c r="O28" s="4">
        <f t="shared" ref="O28:R40" si="7">ISO.CEILING(O10)</f>
        <v>1278</v>
      </c>
      <c r="P28" s="4">
        <f t="shared" si="7"/>
        <v>1704</v>
      </c>
      <c r="Q28" s="4">
        <f t="shared" si="7"/>
        <v>2130</v>
      </c>
      <c r="R28" s="4">
        <f t="shared" si="7"/>
        <v>2555</v>
      </c>
    </row>
    <row r="29" spans="1:18" ht="11.75" customHeight="1" x14ac:dyDescent="0.3">
      <c r="A29" s="83"/>
      <c r="B29" s="2" t="s">
        <v>14</v>
      </c>
      <c r="C29" s="15">
        <f t="shared" si="2"/>
        <v>2624</v>
      </c>
      <c r="D29" s="75">
        <f>P32</f>
        <v>3497</v>
      </c>
      <c r="E29" s="22"/>
      <c r="G29" s="83"/>
      <c r="H29" s="2" t="s">
        <v>14</v>
      </c>
      <c r="I29" s="15">
        <f t="shared" ref="I29:I31" si="8">J28+1</f>
        <v>2624</v>
      </c>
      <c r="J29" s="17">
        <f>P32</f>
        <v>3497</v>
      </c>
      <c r="K29" s="22"/>
      <c r="M29" s="5">
        <v>3</v>
      </c>
      <c r="O29" s="4">
        <f t="shared" si="7"/>
        <v>1614</v>
      </c>
      <c r="P29" s="4">
        <f t="shared" si="7"/>
        <v>2152</v>
      </c>
      <c r="Q29" s="4">
        <f t="shared" si="7"/>
        <v>2690</v>
      </c>
      <c r="R29" s="4">
        <f t="shared" si="7"/>
        <v>3228</v>
      </c>
    </row>
    <row r="30" spans="1:18" ht="11.75" customHeight="1" x14ac:dyDescent="0.3">
      <c r="A30" s="83"/>
      <c r="B30" s="2" t="s">
        <v>15</v>
      </c>
      <c r="C30" s="15">
        <f t="shared" si="2"/>
        <v>3498</v>
      </c>
      <c r="D30" s="76">
        <f>Q32</f>
        <v>4371</v>
      </c>
      <c r="E30" s="22"/>
      <c r="G30" s="83"/>
      <c r="H30" s="2" t="s">
        <v>15</v>
      </c>
      <c r="I30" s="15">
        <f t="shared" si="8"/>
        <v>3498</v>
      </c>
      <c r="J30" s="17">
        <f>Q32</f>
        <v>4371</v>
      </c>
      <c r="K30" s="22"/>
      <c r="M30" s="5">
        <v>4</v>
      </c>
      <c r="O30" s="4">
        <f t="shared" si="7"/>
        <v>1950</v>
      </c>
      <c r="P30" s="4">
        <f t="shared" si="7"/>
        <v>2600</v>
      </c>
      <c r="Q30" s="4">
        <f t="shared" si="7"/>
        <v>3250</v>
      </c>
      <c r="R30" s="4">
        <f t="shared" si="7"/>
        <v>3900</v>
      </c>
    </row>
    <row r="31" spans="1:18" ht="12" customHeight="1" thickBot="1" x14ac:dyDescent="0.35">
      <c r="A31" s="84"/>
      <c r="B31" s="11" t="s">
        <v>16</v>
      </c>
      <c r="C31" s="18">
        <f t="shared" si="2"/>
        <v>4372</v>
      </c>
      <c r="D31" s="77">
        <f>R32</f>
        <v>5245</v>
      </c>
      <c r="E31" s="23"/>
      <c r="G31" s="84"/>
      <c r="H31" s="11" t="s">
        <v>16</v>
      </c>
      <c r="I31" s="18">
        <f t="shared" si="8"/>
        <v>4372</v>
      </c>
      <c r="J31" s="19">
        <f>R32</f>
        <v>5245</v>
      </c>
      <c r="K31" s="23"/>
      <c r="M31" s="5">
        <v>5</v>
      </c>
      <c r="O31" s="4">
        <f t="shared" si="7"/>
        <v>2287</v>
      </c>
      <c r="P31" s="4">
        <f t="shared" si="7"/>
        <v>3049</v>
      </c>
      <c r="Q31" s="4">
        <f t="shared" si="7"/>
        <v>3811</v>
      </c>
      <c r="R31" s="4">
        <f t="shared" si="7"/>
        <v>4573</v>
      </c>
    </row>
    <row r="32" spans="1:18" ht="12" customHeight="1" thickBot="1" x14ac:dyDescent="0.35">
      <c r="C32" s="12"/>
      <c r="D32" s="78"/>
      <c r="I32" s="12"/>
      <c r="J32" s="12"/>
      <c r="M32" s="5">
        <v>6</v>
      </c>
      <c r="O32" s="4">
        <f t="shared" si="7"/>
        <v>2623</v>
      </c>
      <c r="P32" s="4">
        <f t="shared" si="7"/>
        <v>3497</v>
      </c>
      <c r="Q32" s="4">
        <f t="shared" si="7"/>
        <v>4371</v>
      </c>
      <c r="R32" s="4">
        <f t="shared" si="7"/>
        <v>5245</v>
      </c>
    </row>
    <row r="33" spans="1:18" ht="11.75" customHeight="1" x14ac:dyDescent="0.3">
      <c r="A33" s="82">
        <v>7</v>
      </c>
      <c r="B33" s="10" t="s">
        <v>13</v>
      </c>
      <c r="C33" s="13">
        <v>0</v>
      </c>
      <c r="D33" s="74">
        <f>O33</f>
        <v>2959</v>
      </c>
      <c r="E33" s="24"/>
      <c r="G33" s="82">
        <v>7</v>
      </c>
      <c r="H33" s="10" t="s">
        <v>13</v>
      </c>
      <c r="I33" s="13">
        <v>0</v>
      </c>
      <c r="J33" s="20">
        <f>O33</f>
        <v>2959</v>
      </c>
      <c r="K33" s="24"/>
      <c r="M33" s="5">
        <v>7</v>
      </c>
      <c r="O33" s="4">
        <f t="shared" si="7"/>
        <v>2959</v>
      </c>
      <c r="P33" s="4">
        <f t="shared" si="7"/>
        <v>3945</v>
      </c>
      <c r="Q33" s="4">
        <f t="shared" si="7"/>
        <v>4932</v>
      </c>
      <c r="R33" s="4">
        <f t="shared" si="7"/>
        <v>5918</v>
      </c>
    </row>
    <row r="34" spans="1:18" ht="11.75" customHeight="1" x14ac:dyDescent="0.3">
      <c r="A34" s="83"/>
      <c r="B34" s="2" t="s">
        <v>14</v>
      </c>
      <c r="C34" s="15">
        <f t="shared" si="2"/>
        <v>2960</v>
      </c>
      <c r="D34" s="75">
        <f>P33</f>
        <v>3945</v>
      </c>
      <c r="E34" s="22"/>
      <c r="G34" s="83"/>
      <c r="H34" s="2" t="s">
        <v>14</v>
      </c>
      <c r="I34" s="15">
        <f t="shared" ref="I34:I35" si="9">J33+1</f>
        <v>2960</v>
      </c>
      <c r="J34" s="17">
        <f>P33</f>
        <v>3945</v>
      </c>
      <c r="K34" s="22"/>
      <c r="M34" s="5">
        <v>8</v>
      </c>
      <c r="O34" s="4">
        <f t="shared" si="7"/>
        <v>3295</v>
      </c>
      <c r="P34" s="4">
        <f t="shared" si="7"/>
        <v>4394</v>
      </c>
      <c r="Q34" s="4">
        <f t="shared" si="7"/>
        <v>5492</v>
      </c>
      <c r="R34" s="4">
        <f t="shared" si="7"/>
        <v>6590</v>
      </c>
    </row>
    <row r="35" spans="1:18" ht="11.75" customHeight="1" x14ac:dyDescent="0.3">
      <c r="A35" s="83"/>
      <c r="B35" s="2" t="s">
        <v>15</v>
      </c>
      <c r="C35" s="15">
        <f t="shared" si="2"/>
        <v>3946</v>
      </c>
      <c r="D35" s="76">
        <f>Q33</f>
        <v>4932</v>
      </c>
      <c r="E35" s="22"/>
      <c r="G35" s="83"/>
      <c r="H35" s="2" t="s">
        <v>15</v>
      </c>
      <c r="I35" s="15">
        <f t="shared" si="9"/>
        <v>3946</v>
      </c>
      <c r="J35" s="17">
        <f>Q33</f>
        <v>4932</v>
      </c>
      <c r="K35" s="22"/>
      <c r="M35" s="5">
        <v>9</v>
      </c>
      <c r="O35" s="4">
        <f t="shared" si="7"/>
        <v>3632</v>
      </c>
      <c r="P35" s="4">
        <f t="shared" si="7"/>
        <v>4842</v>
      </c>
      <c r="Q35" s="4">
        <f t="shared" si="7"/>
        <v>6053</v>
      </c>
      <c r="R35" s="4">
        <f t="shared" si="7"/>
        <v>7263</v>
      </c>
    </row>
    <row r="36" spans="1:18" ht="12" customHeight="1" thickBot="1" x14ac:dyDescent="0.35">
      <c r="A36" s="84"/>
      <c r="B36" s="11" t="s">
        <v>16</v>
      </c>
      <c r="C36" s="18">
        <f>D31+1</f>
        <v>5246</v>
      </c>
      <c r="D36" s="77">
        <f>R33</f>
        <v>5918</v>
      </c>
      <c r="E36" s="23"/>
      <c r="G36" s="84"/>
      <c r="H36" s="11" t="s">
        <v>16</v>
      </c>
      <c r="I36" s="18">
        <f>J31+1</f>
        <v>5246</v>
      </c>
      <c r="J36" s="19">
        <f>R33</f>
        <v>5918</v>
      </c>
      <c r="K36" s="23"/>
      <c r="M36" s="5">
        <v>10</v>
      </c>
      <c r="O36" s="4">
        <f t="shared" si="7"/>
        <v>3968</v>
      </c>
      <c r="P36" s="4">
        <f t="shared" si="7"/>
        <v>5290</v>
      </c>
      <c r="Q36" s="4">
        <f t="shared" si="7"/>
        <v>6613</v>
      </c>
      <c r="R36" s="4">
        <f t="shared" si="7"/>
        <v>7931</v>
      </c>
    </row>
    <row r="37" spans="1:18" ht="12" customHeight="1" thickBot="1" x14ac:dyDescent="0.35">
      <c r="C37" s="12"/>
      <c r="D37" s="78"/>
      <c r="I37" s="12"/>
      <c r="J37" s="12"/>
      <c r="M37" s="5">
        <v>11</v>
      </c>
      <c r="O37" s="4">
        <f t="shared" si="7"/>
        <v>4304</v>
      </c>
      <c r="P37" s="4">
        <f t="shared" si="7"/>
        <v>5739</v>
      </c>
      <c r="Q37" s="4">
        <f t="shared" si="7"/>
        <v>7173</v>
      </c>
      <c r="R37" s="4">
        <f t="shared" si="7"/>
        <v>8608</v>
      </c>
    </row>
    <row r="38" spans="1:18" ht="11.75" customHeight="1" x14ac:dyDescent="0.3">
      <c r="A38" s="82">
        <v>8</v>
      </c>
      <c r="B38" s="10" t="s">
        <v>13</v>
      </c>
      <c r="C38" s="13">
        <v>0</v>
      </c>
      <c r="D38" s="79">
        <f>O34</f>
        <v>3295</v>
      </c>
      <c r="E38" s="24"/>
      <c r="G38" s="82">
        <v>8</v>
      </c>
      <c r="H38" s="10" t="s">
        <v>13</v>
      </c>
      <c r="I38" s="13">
        <v>0</v>
      </c>
      <c r="J38" s="20">
        <f>O34</f>
        <v>3295</v>
      </c>
      <c r="K38" s="24"/>
      <c r="M38" s="5">
        <v>12</v>
      </c>
      <c r="O38" s="4">
        <f t="shared" si="7"/>
        <v>4640</v>
      </c>
      <c r="P38" s="4">
        <f t="shared" si="7"/>
        <v>6187</v>
      </c>
      <c r="Q38" s="4">
        <f t="shared" si="7"/>
        <v>7734</v>
      </c>
      <c r="R38" s="4">
        <f t="shared" si="7"/>
        <v>9280</v>
      </c>
    </row>
    <row r="39" spans="1:18" ht="11.75" customHeight="1" x14ac:dyDescent="0.3">
      <c r="A39" s="83"/>
      <c r="B39" s="2" t="s">
        <v>14</v>
      </c>
      <c r="C39" s="15">
        <f t="shared" si="2"/>
        <v>3296</v>
      </c>
      <c r="D39" s="76">
        <f>P34</f>
        <v>4394</v>
      </c>
      <c r="E39" s="22"/>
      <c r="G39" s="83"/>
      <c r="H39" s="2" t="s">
        <v>14</v>
      </c>
      <c r="I39" s="15">
        <f t="shared" ref="I39:I41" si="10">J38+1</f>
        <v>3296</v>
      </c>
      <c r="J39" s="17">
        <f>P34</f>
        <v>4394</v>
      </c>
      <c r="K39" s="22"/>
      <c r="M39" s="5">
        <v>13</v>
      </c>
      <c r="O39" s="4">
        <f t="shared" si="7"/>
        <v>4977</v>
      </c>
      <c r="P39" s="4">
        <f t="shared" si="7"/>
        <v>6631</v>
      </c>
      <c r="Q39" s="4">
        <f t="shared" si="7"/>
        <v>8294</v>
      </c>
      <c r="R39" s="4">
        <f t="shared" si="7"/>
        <v>9953</v>
      </c>
    </row>
    <row r="40" spans="1:18" ht="11.75" customHeight="1" x14ac:dyDescent="0.3">
      <c r="A40" s="83"/>
      <c r="B40" s="2" t="s">
        <v>15</v>
      </c>
      <c r="C40" s="15">
        <f t="shared" si="2"/>
        <v>4395</v>
      </c>
      <c r="D40" s="76">
        <f>Q34</f>
        <v>5492</v>
      </c>
      <c r="E40" s="22"/>
      <c r="G40" s="83"/>
      <c r="H40" s="2" t="s">
        <v>15</v>
      </c>
      <c r="I40" s="15">
        <f t="shared" si="10"/>
        <v>4395</v>
      </c>
      <c r="J40" s="17">
        <f>Q34</f>
        <v>5492</v>
      </c>
      <c r="K40" s="22"/>
      <c r="M40" s="5">
        <v>14</v>
      </c>
      <c r="O40" s="4">
        <f t="shared" si="7"/>
        <v>5313</v>
      </c>
      <c r="P40" s="4">
        <f t="shared" si="7"/>
        <v>7084</v>
      </c>
      <c r="Q40" s="4">
        <f t="shared" si="7"/>
        <v>8855</v>
      </c>
      <c r="R40" s="4">
        <f t="shared" si="7"/>
        <v>10625</v>
      </c>
    </row>
    <row r="41" spans="1:18" ht="12" customHeight="1" thickBot="1" x14ac:dyDescent="0.35">
      <c r="A41" s="84"/>
      <c r="B41" s="11" t="s">
        <v>16</v>
      </c>
      <c r="C41" s="18">
        <f t="shared" si="2"/>
        <v>5493</v>
      </c>
      <c r="D41" s="77">
        <f>R34</f>
        <v>6590</v>
      </c>
      <c r="E41" s="23"/>
      <c r="G41" s="84"/>
      <c r="H41" s="11" t="s">
        <v>16</v>
      </c>
      <c r="I41" s="18">
        <f t="shared" si="10"/>
        <v>5493</v>
      </c>
      <c r="J41" s="19">
        <f>R34</f>
        <v>6590</v>
      </c>
      <c r="K41" s="23"/>
    </row>
  </sheetData>
  <mergeCells count="20">
    <mergeCell ref="A1:D1"/>
    <mergeCell ref="C2:D2"/>
    <mergeCell ref="A3:A6"/>
    <mergeCell ref="A8:A11"/>
    <mergeCell ref="A13:A16"/>
    <mergeCell ref="A18:A21"/>
    <mergeCell ref="A23:A26"/>
    <mergeCell ref="A28:A31"/>
    <mergeCell ref="A33:A36"/>
    <mergeCell ref="A38:A41"/>
    <mergeCell ref="G1:J1"/>
    <mergeCell ref="I2:J2"/>
    <mergeCell ref="G3:G6"/>
    <mergeCell ref="G8:G11"/>
    <mergeCell ref="G13:G16"/>
    <mergeCell ref="G18:G21"/>
    <mergeCell ref="G23:G26"/>
    <mergeCell ref="G28:G31"/>
    <mergeCell ref="G33:G36"/>
    <mergeCell ref="G38:G4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015F6-C890-4B5C-9DD7-DA97707DB0E1}">
  <dimension ref="A1:R31"/>
  <sheetViews>
    <sheetView tabSelected="1" topLeftCell="A2" workbookViewId="0">
      <selection activeCell="Q11" sqref="Q11"/>
    </sheetView>
    <sheetView tabSelected="1" workbookViewId="1"/>
  </sheetViews>
  <sheetFormatPr defaultRowHeight="14.5" x14ac:dyDescent="0.35"/>
  <cols>
    <col min="1" max="1" width="11.26953125" customWidth="1"/>
    <col min="6" max="6" width="14.81640625" customWidth="1"/>
    <col min="9" max="9" width="12.26953125" customWidth="1"/>
  </cols>
  <sheetData>
    <row r="1" spans="1:16" x14ac:dyDescent="0.35">
      <c r="A1" t="s">
        <v>20</v>
      </c>
      <c r="D1">
        <v>71494</v>
      </c>
      <c r="F1" s="31" t="s">
        <v>29</v>
      </c>
      <c r="G1" s="28" t="s">
        <v>30</v>
      </c>
      <c r="H1" s="31" t="s">
        <v>28</v>
      </c>
      <c r="I1" s="31" t="s">
        <v>31</v>
      </c>
      <c r="J1" s="31" t="s">
        <v>28</v>
      </c>
      <c r="K1" s="32" t="s">
        <v>41</v>
      </c>
    </row>
    <row r="2" spans="1:16" x14ac:dyDescent="0.35">
      <c r="A2" t="s">
        <v>23</v>
      </c>
      <c r="D2">
        <v>72045</v>
      </c>
      <c r="F2" s="32" t="s">
        <v>24</v>
      </c>
      <c r="G2" s="29">
        <v>0.42387396765910196</v>
      </c>
      <c r="H2" s="32">
        <v>4</v>
      </c>
      <c r="I2" s="32" t="s">
        <v>4</v>
      </c>
      <c r="J2" s="32">
        <v>1</v>
      </c>
      <c r="K2" s="32">
        <v>1.27</v>
      </c>
      <c r="L2" s="48"/>
      <c r="M2" s="46">
        <v>0.25</v>
      </c>
    </row>
    <row r="3" spans="1:16" x14ac:dyDescent="0.35">
      <c r="A3" t="s">
        <v>21</v>
      </c>
      <c r="B3" t="s">
        <v>22</v>
      </c>
      <c r="D3">
        <v>72545</v>
      </c>
      <c r="F3" s="32" t="s">
        <v>25</v>
      </c>
      <c r="G3" s="29">
        <v>0.37036574363245195</v>
      </c>
      <c r="H3" s="32">
        <v>3</v>
      </c>
      <c r="I3" s="32" t="s">
        <v>5</v>
      </c>
      <c r="J3" s="32">
        <v>2</v>
      </c>
      <c r="K3">
        <v>1.27</v>
      </c>
    </row>
    <row r="4" spans="1:16" x14ac:dyDescent="0.35">
      <c r="F4" s="32" t="s">
        <v>26</v>
      </c>
      <c r="G4" s="29">
        <v>0.14403497813866334</v>
      </c>
      <c r="H4" s="32">
        <v>2</v>
      </c>
      <c r="I4" s="32" t="s">
        <v>3</v>
      </c>
      <c r="J4" s="32">
        <v>3</v>
      </c>
      <c r="K4" s="32">
        <v>2.54</v>
      </c>
      <c r="M4" s="48">
        <f>K2/K7</f>
        <v>0.25</v>
      </c>
    </row>
    <row r="5" spans="1:16" x14ac:dyDescent="0.35">
      <c r="E5" t="s">
        <v>32</v>
      </c>
      <c r="F5" s="32" t="s">
        <v>27</v>
      </c>
      <c r="G5" s="29">
        <v>6.1725310569782775E-2</v>
      </c>
      <c r="H5" s="32">
        <v>1</v>
      </c>
      <c r="I5" s="32" t="s">
        <v>33</v>
      </c>
      <c r="J5" s="32">
        <v>4</v>
      </c>
      <c r="K5">
        <v>3.81</v>
      </c>
    </row>
    <row r="6" spans="1:16" x14ac:dyDescent="0.35">
      <c r="E6" t="s">
        <v>32</v>
      </c>
      <c r="F6" s="32" t="s">
        <v>32</v>
      </c>
      <c r="G6" s="29" t="s">
        <v>32</v>
      </c>
      <c r="H6" s="32" t="s">
        <v>32</v>
      </c>
      <c r="I6" s="32" t="s">
        <v>6</v>
      </c>
      <c r="J6" s="32">
        <v>5</v>
      </c>
      <c r="K6">
        <v>3.81</v>
      </c>
    </row>
    <row r="7" spans="1:16" ht="15" thickBot="1" x14ac:dyDescent="0.4">
      <c r="F7" s="33"/>
      <c r="G7" s="30"/>
      <c r="H7" s="33"/>
      <c r="I7" s="33" t="s">
        <v>11</v>
      </c>
      <c r="J7" s="33">
        <v>6</v>
      </c>
      <c r="K7">
        <v>5.08</v>
      </c>
    </row>
    <row r="8" spans="1:16" ht="15" thickBot="1" x14ac:dyDescent="0.4"/>
    <row r="9" spans="1:16" s="34" customFormat="1" ht="43.5" x14ac:dyDescent="0.35">
      <c r="A9" s="43" t="s">
        <v>34</v>
      </c>
      <c r="B9" s="44" t="s">
        <v>28</v>
      </c>
      <c r="C9" s="34" t="s">
        <v>40</v>
      </c>
      <c r="D9" s="43" t="s">
        <v>35</v>
      </c>
      <c r="E9" s="44" t="s">
        <v>28</v>
      </c>
      <c r="F9" s="43" t="s">
        <v>37</v>
      </c>
      <c r="G9" s="44" t="s">
        <v>28</v>
      </c>
      <c r="J9" s="50"/>
      <c r="K9" s="51" t="s">
        <v>34</v>
      </c>
      <c r="L9" s="52" t="s">
        <v>28</v>
      </c>
      <c r="M9" s="51" t="s">
        <v>35</v>
      </c>
      <c r="N9" s="52" t="s">
        <v>28</v>
      </c>
      <c r="O9" s="51" t="s">
        <v>37</v>
      </c>
      <c r="P9" s="52" t="s">
        <v>28</v>
      </c>
    </row>
    <row r="10" spans="1:16" x14ac:dyDescent="0.35">
      <c r="A10" s="46">
        <v>1</v>
      </c>
      <c r="B10" s="45">
        <v>1</v>
      </c>
      <c r="C10">
        <v>0.7</v>
      </c>
      <c r="D10" s="32" t="s">
        <v>24</v>
      </c>
      <c r="E10" s="45">
        <v>4</v>
      </c>
      <c r="F10" s="32" t="s">
        <v>4</v>
      </c>
      <c r="G10" s="32">
        <v>1</v>
      </c>
      <c r="K10" s="53">
        <v>1</v>
      </c>
      <c r="L10" s="54">
        <v>1</v>
      </c>
      <c r="M10" s="57" t="s">
        <v>24</v>
      </c>
      <c r="N10" s="54">
        <v>4</v>
      </c>
      <c r="O10" s="57" t="s">
        <v>4</v>
      </c>
      <c r="P10" s="57">
        <v>1</v>
      </c>
    </row>
    <row r="11" spans="1:16" x14ac:dyDescent="0.35">
      <c r="A11" s="46">
        <v>2</v>
      </c>
      <c r="B11" s="45">
        <v>2</v>
      </c>
      <c r="C11">
        <v>0.76</v>
      </c>
      <c r="D11" s="32" t="s">
        <v>25</v>
      </c>
      <c r="E11" s="45">
        <v>3</v>
      </c>
      <c r="F11" s="32" t="s">
        <v>5</v>
      </c>
      <c r="G11" s="32">
        <v>2</v>
      </c>
      <c r="K11" s="53">
        <v>2</v>
      </c>
      <c r="L11" s="54">
        <v>2</v>
      </c>
      <c r="M11" s="57" t="s">
        <v>25</v>
      </c>
      <c r="N11" s="54">
        <v>3</v>
      </c>
      <c r="O11" s="57" t="s">
        <v>5</v>
      </c>
      <c r="P11" s="57">
        <v>2</v>
      </c>
    </row>
    <row r="12" spans="1:16" x14ac:dyDescent="0.35">
      <c r="A12" s="46">
        <v>3</v>
      </c>
      <c r="B12" s="45">
        <v>3</v>
      </c>
      <c r="C12">
        <v>0.82</v>
      </c>
      <c r="D12" s="32" t="s">
        <v>26</v>
      </c>
      <c r="E12" s="45">
        <v>2</v>
      </c>
      <c r="F12" s="32" t="s">
        <v>3</v>
      </c>
      <c r="G12" s="32">
        <v>3</v>
      </c>
      <c r="K12" s="53">
        <v>3</v>
      </c>
      <c r="L12" s="54">
        <v>3</v>
      </c>
      <c r="M12" s="57" t="s">
        <v>26</v>
      </c>
      <c r="N12" s="54">
        <v>2</v>
      </c>
      <c r="O12" s="57" t="s">
        <v>3</v>
      </c>
      <c r="P12" s="57">
        <v>3</v>
      </c>
    </row>
    <row r="13" spans="1:16" x14ac:dyDescent="0.35">
      <c r="A13" s="46">
        <v>4</v>
      </c>
      <c r="B13" s="45">
        <v>4</v>
      </c>
      <c r="C13">
        <v>0.88</v>
      </c>
      <c r="D13" s="32" t="s">
        <v>27</v>
      </c>
      <c r="E13" s="45">
        <v>1</v>
      </c>
      <c r="F13" s="32" t="s">
        <v>33</v>
      </c>
      <c r="G13" s="32">
        <v>4</v>
      </c>
      <c r="K13" s="53">
        <v>4</v>
      </c>
      <c r="L13" s="54">
        <v>4</v>
      </c>
      <c r="M13" s="57" t="s">
        <v>27</v>
      </c>
      <c r="N13" s="54">
        <v>1</v>
      </c>
      <c r="O13" s="57" t="s">
        <v>33</v>
      </c>
      <c r="P13" s="57">
        <v>4</v>
      </c>
    </row>
    <row r="14" spans="1:16" x14ac:dyDescent="0.35">
      <c r="A14" s="46">
        <v>5</v>
      </c>
      <c r="B14" s="45">
        <v>5</v>
      </c>
      <c r="C14">
        <v>0.94</v>
      </c>
      <c r="D14" s="46" t="s">
        <v>36</v>
      </c>
      <c r="E14" s="45">
        <v>1</v>
      </c>
      <c r="F14" s="32" t="s">
        <v>6</v>
      </c>
      <c r="G14" s="32">
        <v>5</v>
      </c>
      <c r="K14" s="53">
        <v>5</v>
      </c>
      <c r="L14" s="54">
        <v>5</v>
      </c>
      <c r="M14" s="53" t="s">
        <v>36</v>
      </c>
      <c r="N14" s="54">
        <v>1</v>
      </c>
      <c r="O14" s="57" t="s">
        <v>6</v>
      </c>
      <c r="P14" s="57">
        <v>5</v>
      </c>
    </row>
    <row r="15" spans="1:16" ht="15" thickBot="1" x14ac:dyDescent="0.4">
      <c r="A15" s="46">
        <v>6</v>
      </c>
      <c r="B15" s="45">
        <v>6</v>
      </c>
      <c r="C15">
        <v>1</v>
      </c>
      <c r="D15" s="46"/>
      <c r="E15" s="45">
        <v>1</v>
      </c>
      <c r="F15" s="33" t="s">
        <v>11</v>
      </c>
      <c r="G15" s="33">
        <v>6</v>
      </c>
      <c r="K15" s="53">
        <v>6</v>
      </c>
      <c r="L15" s="54">
        <v>6</v>
      </c>
      <c r="M15" s="49"/>
      <c r="O15" s="58" t="s">
        <v>11</v>
      </c>
      <c r="P15" s="58">
        <v>6</v>
      </c>
    </row>
    <row r="16" spans="1:16" ht="15" thickBot="1" x14ac:dyDescent="0.4">
      <c r="A16" s="30" t="s">
        <v>38</v>
      </c>
      <c r="B16" s="47">
        <v>6</v>
      </c>
      <c r="C16">
        <v>1</v>
      </c>
      <c r="D16" s="30"/>
      <c r="E16" s="47"/>
      <c r="K16" s="55" t="s">
        <v>43</v>
      </c>
      <c r="L16" s="56">
        <v>6</v>
      </c>
    </row>
    <row r="17" spans="1:18" x14ac:dyDescent="0.35">
      <c r="A17" t="s">
        <v>32</v>
      </c>
    </row>
    <row r="18" spans="1:18" x14ac:dyDescent="0.35">
      <c r="B18" s="42"/>
    </row>
    <row r="19" spans="1:18" x14ac:dyDescent="0.35">
      <c r="B19" s="42"/>
    </row>
    <row r="20" spans="1:18" x14ac:dyDescent="0.35">
      <c r="B20" s="42"/>
    </row>
    <row r="21" spans="1:18" ht="45.75" customHeight="1" x14ac:dyDescent="0.35">
      <c r="B21" s="42"/>
      <c r="K21" s="89"/>
      <c r="L21" s="89"/>
      <c r="M21" s="89"/>
      <c r="N21" s="89"/>
      <c r="O21" s="89"/>
      <c r="P21" s="89"/>
      <c r="Q21" s="89"/>
    </row>
    <row r="23" spans="1:18" ht="22.75" customHeight="1" x14ac:dyDescent="0.35">
      <c r="K23" s="88" t="s">
        <v>44</v>
      </c>
      <c r="L23" s="88"/>
      <c r="M23" s="88"/>
      <c r="N23" s="88"/>
      <c r="O23" s="88"/>
      <c r="P23" s="88"/>
      <c r="Q23" s="88"/>
      <c r="R23">
        <v>1.5</v>
      </c>
    </row>
    <row r="25" spans="1:18" ht="22.75" customHeight="1" x14ac:dyDescent="0.35">
      <c r="K25" s="88" t="s">
        <v>45</v>
      </c>
      <c r="L25" s="88"/>
      <c r="M25" s="88"/>
      <c r="N25" s="88"/>
      <c r="O25" s="88"/>
      <c r="P25" s="88"/>
      <c r="Q25" s="88"/>
      <c r="R25">
        <f>28.12/11.96</f>
        <v>2.3511705685618729</v>
      </c>
    </row>
    <row r="27" spans="1:18" ht="22.75" customHeight="1" x14ac:dyDescent="0.35">
      <c r="K27" s="88" t="s">
        <v>46</v>
      </c>
      <c r="L27" s="88"/>
      <c r="M27" s="88"/>
      <c r="N27" s="88"/>
      <c r="O27" s="88"/>
      <c r="P27" s="88"/>
      <c r="Q27" s="88"/>
      <c r="R27">
        <f>23.19/11.96</f>
        <v>1.9389632107023411</v>
      </c>
    </row>
    <row r="29" spans="1:18" ht="22.75" customHeight="1" x14ac:dyDescent="0.35">
      <c r="K29" s="88" t="s">
        <v>47</v>
      </c>
      <c r="L29" s="88"/>
      <c r="M29" s="88"/>
      <c r="N29" s="88"/>
      <c r="O29" s="88"/>
      <c r="P29" s="88"/>
      <c r="Q29" s="88"/>
      <c r="R29">
        <f>37.11/11.96</f>
        <v>3.1028428093645481</v>
      </c>
    </row>
    <row r="31" spans="1:18" ht="34.25" customHeight="1" x14ac:dyDescent="0.35">
      <c r="K31" s="88" t="s">
        <v>48</v>
      </c>
      <c r="L31" s="88"/>
      <c r="M31" s="88"/>
      <c r="N31" s="88"/>
      <c r="O31" s="88"/>
      <c r="P31" s="88"/>
      <c r="Q31" s="88"/>
    </row>
  </sheetData>
  <mergeCells count="6">
    <mergeCell ref="K31:Q31"/>
    <mergeCell ref="K21:Q21"/>
    <mergeCell ref="K23:Q23"/>
    <mergeCell ref="K25:Q25"/>
    <mergeCell ref="K27:Q27"/>
    <mergeCell ref="K29:Q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ab27c9c-2319-4a31-acfd-7844cf27d069">
      <Terms xmlns="http://schemas.microsoft.com/office/infopath/2007/PartnerControls"/>
    </lcf76f155ced4ddcb4097134ff3c332f>
    <TaxCatchAll xmlns="ff6cc6ab-f377-45db-88b7-f36e6ccbae48"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BDCB78A256B2428F943D7F921693BF" ma:contentTypeVersion="20" ma:contentTypeDescription="Create a new document." ma:contentTypeScope="" ma:versionID="5bc97d653ccbd7cc989975af415bdd7b">
  <xsd:schema xmlns:xsd="http://www.w3.org/2001/XMLSchema" xmlns:xs="http://www.w3.org/2001/XMLSchema" xmlns:p="http://schemas.microsoft.com/office/2006/metadata/properties" xmlns:ns1="http://schemas.microsoft.com/sharepoint/v3" xmlns:ns2="eab27c9c-2319-4a31-acfd-7844cf27d069" xmlns:ns3="ff6cc6ab-f377-45db-88b7-f36e6ccbae48" targetNamespace="http://schemas.microsoft.com/office/2006/metadata/properties" ma:root="true" ma:fieldsID="473ac735f91e101e51d5b1f6feb0bce0" ns1:_="" ns2:_="" ns3:_="">
    <xsd:import namespace="http://schemas.microsoft.com/sharepoint/v3"/>
    <xsd:import namespace="eab27c9c-2319-4a31-acfd-7844cf27d069"/>
    <xsd:import namespace="ff6cc6ab-f377-45db-88b7-f36e6ccbae4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SearchProperties" minOccurs="0"/>
                <xsd:element ref="ns2:MediaLengthInSeconds"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b27c9c-2319-4a31-acfd-7844cf27d0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485aa56-54bd-4632-b499-cfba422c642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6cc6ab-f377-45db-88b7-f36e6ccbae4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f9138b-46f9-43ad-843f-7dde241fd294}" ma:internalName="TaxCatchAll" ma:showField="CatchAllData" ma:web="ff6cc6ab-f377-45db-88b7-f36e6ccbae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6F70D7-42BD-4134-BAD8-A4CD04AFF2EA}">
  <ds:schemaRefs>
    <ds:schemaRef ds:uri="http://purl.org/dc/elements/1.1/"/>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sharepoint/v3"/>
    <ds:schemaRef ds:uri="http://purl.org/dc/terms/"/>
    <ds:schemaRef ds:uri="ff6cc6ab-f377-45db-88b7-f36e6ccbae48"/>
    <ds:schemaRef ds:uri="http://schemas.microsoft.com/office/infopath/2007/PartnerControls"/>
    <ds:schemaRef ds:uri="eab27c9c-2319-4a31-acfd-7844cf27d069"/>
    <ds:schemaRef ds:uri="http://www.w3.org/XML/1998/namespace"/>
  </ds:schemaRefs>
</ds:datastoreItem>
</file>

<file path=customXml/itemProps2.xml><?xml version="1.0" encoding="utf-8"?>
<ds:datastoreItem xmlns:ds="http://schemas.openxmlformats.org/officeDocument/2006/customXml" ds:itemID="{9668EE9C-F4A9-4226-B7D3-3E3C989D9CE4}">
  <ds:schemaRefs>
    <ds:schemaRef ds:uri="http://schemas.microsoft.com/sharepoint/v3/contenttype/forms"/>
  </ds:schemaRefs>
</ds:datastoreItem>
</file>

<file path=customXml/itemProps3.xml><?xml version="1.0" encoding="utf-8"?>
<ds:datastoreItem xmlns:ds="http://schemas.openxmlformats.org/officeDocument/2006/customXml" ds:itemID="{B615040D-3737-4F3F-8F4E-C8E08429F0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b27c9c-2319-4a31-acfd-7844cf27d069"/>
    <ds:schemaRef ds:uri="ff6cc6ab-f377-45db-88b7-f36e6ccbae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Subsidy points</vt:lpstr>
      <vt:lpstr>subsidy benefits</vt:lpstr>
      <vt:lpstr>cooling subsidy</vt:lpstr>
      <vt:lpstr>points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 Meehan (CAK)</dc:creator>
  <cp:lastModifiedBy>Bowling, Vickie (CHFS DCBS DFS)</cp:lastModifiedBy>
  <dcterms:created xsi:type="dcterms:W3CDTF">2024-05-03T19:24:40Z</dcterms:created>
  <dcterms:modified xsi:type="dcterms:W3CDTF">2024-08-27T15:10:08Z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0x01010049BDCB78A256B2428F943D7F921693BF</vt:lpwstr>
  </property>
  <property fmtid="{D5CDD505-2E9C-101B-9397-08002B2CF9AE}" pid="3" name="MediaServiceImageTags">
    <vt:lpwstr/>
  </property>
</Properties>
</file>